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480" yWindow="150" windowWidth="22110" windowHeight="9795"/>
  </bookViews>
  <sheets>
    <sheet name="Überstunden oder Neueinstellung" sheetId="2" r:id="rId1"/>
  </sheets>
  <definedNames>
    <definedName name="_xlnm.Print_Area" localSheetId="0">'Überstunden oder Neueinstellung'!$B$3:$U$55</definedName>
    <definedName name="HinweiseB3">#REF!</definedName>
    <definedName name="StartG10">#REF!</definedName>
    <definedName name="Startseite">#REF!</definedName>
    <definedName name="StartseiteG10">#REF!</definedName>
  </definedNames>
  <calcPr calcId="145621"/>
</workbook>
</file>

<file path=xl/calcChain.xml><?xml version="1.0" encoding="utf-8"?>
<calcChain xmlns="http://schemas.openxmlformats.org/spreadsheetml/2006/main">
  <c r="AC45" i="2" l="1"/>
  <c r="N33" i="2"/>
  <c r="AA15" i="2"/>
  <c r="H14" i="2"/>
  <c r="AA7" i="2"/>
  <c r="AA13" i="2"/>
  <c r="H34" i="2" s="1"/>
  <c r="AA8" i="2"/>
  <c r="AA10" i="2"/>
  <c r="AA9" i="2"/>
  <c r="AA39" i="2"/>
  <c r="AA11" i="2"/>
  <c r="AA33" i="2"/>
  <c r="AB33" i="2"/>
  <c r="AA34" i="2"/>
  <c r="AB34" i="2"/>
  <c r="AA35" i="2"/>
  <c r="AB35" i="2"/>
  <c r="AA36" i="2"/>
  <c r="AB36" i="2"/>
  <c r="AA37" i="2"/>
  <c r="AB37" i="2"/>
  <c r="R28" i="2"/>
  <c r="H29" i="2"/>
  <c r="H28" i="2"/>
  <c r="R29" i="2"/>
  <c r="H36" i="2"/>
  <c r="H31" i="2"/>
  <c r="H33" i="2"/>
  <c r="H35" i="2" l="1"/>
  <c r="R35" i="2" s="1"/>
  <c r="H37" i="2"/>
  <c r="R37" i="2" s="1"/>
  <c r="R34" i="2"/>
  <c r="R36" i="2"/>
  <c r="R31" i="2"/>
  <c r="R33" i="2" s="1"/>
  <c r="R39" i="2" s="1"/>
  <c r="R41" i="2" l="1"/>
  <c r="R45" i="2" s="1"/>
  <c r="H39" i="2"/>
  <c r="R46" i="2" l="1"/>
  <c r="AT52" i="2"/>
  <c r="AA45" i="2"/>
  <c r="H41" i="2"/>
  <c r="H45" i="2" s="1"/>
  <c r="AA44" i="2" l="1"/>
  <c r="H46" i="2"/>
  <c r="AA47" i="2"/>
  <c r="AC47" i="2" s="1"/>
  <c r="AT51" i="2"/>
  <c r="AA46" i="2"/>
  <c r="AC46" i="2" s="1"/>
  <c r="AC49" i="2" l="1"/>
  <c r="C48" i="2" s="1"/>
</calcChain>
</file>

<file path=xl/sharedStrings.xml><?xml version="1.0" encoding="utf-8"?>
<sst xmlns="http://schemas.openxmlformats.org/spreadsheetml/2006/main" count="93" uniqueCount="67">
  <si>
    <t>Arbeitstage pro Jahr</t>
  </si>
  <si>
    <t>=</t>
  </si>
  <si>
    <t>AG-Anteil Rentenv.</t>
  </si>
  <si>
    <t>AG-Anteil Arbeitsl.-Vers.</t>
  </si>
  <si>
    <t>Gesamtkosten</t>
  </si>
  <si>
    <t>Allgemeine Angaben</t>
  </si>
  <si>
    <t>AG-Anteil Krankenvers.</t>
  </si>
  <si>
    <t>AG-Anteil Pflegevers.</t>
  </si>
  <si>
    <t>BBG</t>
  </si>
  <si>
    <t xml:space="preserve">  </t>
  </si>
  <si>
    <t>Vergleich Überstunden oder Neueinstellung</t>
  </si>
  <si>
    <t>Durchschn. Arbeitszeit pro Tage</t>
  </si>
  <si>
    <t>Weihnachtsgeld in %</t>
  </si>
  <si>
    <t>Urlaubsgeld in %</t>
  </si>
  <si>
    <t>Sonstige Zuschläge in %</t>
  </si>
  <si>
    <t>Überstundenzuschläge</t>
  </si>
  <si>
    <t>Überstundenzuschläge in %</t>
  </si>
  <si>
    <t>für</t>
  </si>
  <si>
    <t>J</t>
  </si>
  <si>
    <t>Summe Brutto-Lohn</t>
  </si>
  <si>
    <t>Sozialversicherung</t>
  </si>
  <si>
    <t>Gesamtkosten je Stunde</t>
  </si>
  <si>
    <t>Schicht-Zuschläge</t>
  </si>
  <si>
    <t>Sonstige Zuschläge</t>
  </si>
  <si>
    <t>Sonstige Zuschläge in</t>
  </si>
  <si>
    <t>Arbeitszeit eines Mitarbeiter / Jahr</t>
  </si>
  <si>
    <t>Anzahl erforderlicher Mitarbeiter</t>
  </si>
  <si>
    <t>Brutto-Lohn insgesamt</t>
  </si>
  <si>
    <t xml:space="preserve">Gegenüberstellung der Kosten bei Überstunden und </t>
  </si>
  <si>
    <t>Günstigste Alternative</t>
  </si>
  <si>
    <t>Eingaben prüfen</t>
  </si>
  <si>
    <t>Arbeitstage</t>
  </si>
  <si>
    <t>Block 1</t>
  </si>
  <si>
    <t>Überst-Zuschl.</t>
  </si>
  <si>
    <t>AG-Anteile / BBG</t>
  </si>
  <si>
    <t>Schicht</t>
  </si>
  <si>
    <t>Summe</t>
  </si>
  <si>
    <t>Vorgabe</t>
  </si>
  <si>
    <t>Daten zur Berechnung der Zuschläge</t>
  </si>
  <si>
    <t>Summe der AG-Anteile Soz.Vers.</t>
  </si>
  <si>
    <t>Überstunden günstiger</t>
  </si>
  <si>
    <t>Neueinstellung günstiger</t>
  </si>
  <si>
    <t>Kosten identisch</t>
  </si>
  <si>
    <t>Betrachtung Überstundenkosten</t>
  </si>
  <si>
    <t>Betrachtung Neueinstellung</t>
  </si>
  <si>
    <t>Überstunden</t>
  </si>
  <si>
    <t>Neueinstellung</t>
  </si>
  <si>
    <t>Ergebnis Überstundenkosten</t>
  </si>
  <si>
    <t>Ergebnis Neueinstellung</t>
  </si>
  <si>
    <t>Summe Tage</t>
  </si>
  <si>
    <t>Weihnachts- und Urlaubsgeld</t>
  </si>
  <si>
    <t>Erforderliche Überstunden:</t>
  </si>
  <si>
    <t>Anzahl der betrachteten Überstunden</t>
  </si>
  <si>
    <r>
      <rPr>
        <sz val="10"/>
        <rFont val="Calibri"/>
        <family val="2"/>
      </rPr>
      <t>–</t>
    </r>
  </si>
  <si>
    <t>bezahlte Feiertage pro Jahr</t>
  </si>
  <si>
    <t>bezahlte Urlaubstage pro Jahr</t>
  </si>
  <si>
    <t>bezahlte Krankheitstage pro Jahr</t>
  </si>
  <si>
    <t>sonstige bezahlte Tage</t>
  </si>
  <si>
    <t>effektive Arbeitstage</t>
  </si>
  <si>
    <t>–</t>
  </si>
  <si>
    <t>Durchschn. Brutto-Lohn/Std.</t>
  </si>
  <si>
    <t>Mitarbeiterberechnung aufrunden (J/N)</t>
  </si>
  <si>
    <t>Brutto-Lohn je Stunde</t>
  </si>
  <si>
    <t>Schichtzuschläge</t>
  </si>
  <si>
    <t>Bereinigter Brutto-Lohn</t>
  </si>
  <si>
    <t>BG/Insolvenzgeldumlage</t>
  </si>
  <si>
    <t>Schichtzuschläge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</si>
</sst>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%"/>
    <numFmt numFmtId="165" formatCode="#,##0\ &quot;Std.&quot;"/>
    <numFmt numFmtId="166" formatCode="0\ &quot;Tage&quot;"/>
    <numFmt numFmtId="167" formatCode="#,##0.00\ &quot;€/Std.&quot;"/>
    <numFmt numFmtId="168" formatCode="#,##0\ &quot;€&quot;"/>
    <numFmt numFmtId="169" formatCode="0.00\ &quot;MA&quot;"/>
  </numFmts>
  <fonts count="27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22" fillId="0" borderId="0" xfId="0" applyFont="1" applyBorder="1" applyProtection="1">
      <protection hidden="1"/>
    </xf>
    <xf numFmtId="0" fontId="0" fillId="0" borderId="12" xfId="0" quotePrefix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24" borderId="0" xfId="0" applyNumberFormat="1" applyFill="1" applyBorder="1" applyProtection="1">
      <protection hidden="1"/>
    </xf>
    <xf numFmtId="0" fontId="17" fillId="25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6" fontId="0" fillId="24" borderId="0" xfId="0" applyNumberFormat="1" applyFill="1" applyBorder="1" applyProtection="1">
      <protection locked="0" hidden="1"/>
    </xf>
    <xf numFmtId="166" fontId="0" fillId="26" borderId="12" xfId="0" applyNumberFormat="1" applyFill="1" applyBorder="1" applyProtection="1">
      <protection hidden="1"/>
    </xf>
    <xf numFmtId="165" fontId="0" fillId="24" borderId="0" xfId="0" applyNumberFormat="1" applyFill="1" applyBorder="1" applyProtection="1">
      <protection hidden="1"/>
    </xf>
    <xf numFmtId="0" fontId="0" fillId="24" borderId="0" xfId="0" applyFill="1" applyBorder="1" applyAlignment="1" applyProtection="1">
      <alignment horizontal="center"/>
      <protection hidden="1"/>
    </xf>
    <xf numFmtId="10" fontId="0" fillId="24" borderId="0" xfId="0" applyNumberFormat="1" applyFill="1" applyProtection="1">
      <protection hidden="1"/>
    </xf>
    <xf numFmtId="0" fontId="22" fillId="0" borderId="0" xfId="0" applyFont="1" applyProtection="1">
      <protection hidden="1"/>
    </xf>
    <xf numFmtId="167" fontId="0" fillId="24" borderId="0" xfId="0" applyNumberFormat="1" applyFill="1" applyProtection="1">
      <protection hidden="1"/>
    </xf>
    <xf numFmtId="167" fontId="0" fillId="0" borderId="0" xfId="0" applyNumberFormat="1"/>
    <xf numFmtId="168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Fill="1" applyBorder="1" applyProtection="1">
      <protection locked="0"/>
    </xf>
    <xf numFmtId="165" fontId="0" fillId="0" borderId="0" xfId="0" applyNumberFormat="1" applyProtection="1">
      <protection hidden="1"/>
    </xf>
    <xf numFmtId="169" fontId="0" fillId="0" borderId="0" xfId="0" applyNumberFormat="1"/>
    <xf numFmtId="0" fontId="22" fillId="0" borderId="0" xfId="0" applyFont="1"/>
    <xf numFmtId="168" fontId="22" fillId="0" borderId="0" xfId="0" applyNumberFormat="1" applyFont="1"/>
    <xf numFmtId="168" fontId="24" fillId="0" borderId="0" xfId="0" applyNumberFormat="1" applyFont="1"/>
    <xf numFmtId="0" fontId="22" fillId="0" borderId="0" xfId="0" applyFont="1" applyAlignment="1" applyProtection="1">
      <alignment horizontal="center"/>
      <protection hidden="1"/>
    </xf>
    <xf numFmtId="0" fontId="22" fillId="27" borderId="0" xfId="0" applyFont="1" applyFill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Border="1"/>
    <xf numFmtId="168" fontId="22" fillId="26" borderId="0" xfId="0" applyNumberFormat="1" applyFont="1" applyFill="1"/>
    <xf numFmtId="0" fontId="22" fillId="26" borderId="0" xfId="0" applyFont="1" applyFill="1"/>
    <xf numFmtId="165" fontId="0" fillId="26" borderId="0" xfId="0" applyNumberFormat="1" applyFill="1"/>
    <xf numFmtId="167" fontId="0" fillId="26" borderId="0" xfId="0" applyNumberFormat="1" applyFill="1"/>
    <xf numFmtId="168" fontId="0" fillId="26" borderId="0" xfId="0" applyNumberFormat="1" applyFill="1"/>
    <xf numFmtId="165" fontId="0" fillId="26" borderId="0" xfId="0" applyNumberFormat="1" applyFill="1" applyBorder="1" applyProtection="1">
      <protection hidden="1"/>
    </xf>
    <xf numFmtId="169" fontId="0" fillId="26" borderId="0" xfId="0" applyNumberFormat="1" applyFill="1"/>
    <xf numFmtId="166" fontId="0" fillId="0" borderId="0" xfId="0" applyNumberFormat="1" applyProtection="1">
      <protection hidden="1"/>
    </xf>
    <xf numFmtId="10" fontId="0" fillId="26" borderId="0" xfId="0" applyNumberFormat="1" applyFill="1" applyProtection="1">
      <protection hidden="1"/>
    </xf>
    <xf numFmtId="0" fontId="22" fillId="0" borderId="0" xfId="0" applyFont="1" applyFill="1" applyBorder="1" applyProtection="1">
      <protection locked="0"/>
    </xf>
    <xf numFmtId="0" fontId="25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168" fontId="0" fillId="24" borderId="0" xfId="0" applyNumberFormat="1" applyFill="1" applyBorder="1" applyProtection="1">
      <protection hidden="1"/>
    </xf>
    <xf numFmtId="0" fontId="24" fillId="0" borderId="0" xfId="0" applyFont="1" applyBorder="1" applyProtection="1">
      <protection hidden="1"/>
    </xf>
    <xf numFmtId="0" fontId="24" fillId="0" borderId="0" xfId="0" applyFont="1" applyProtection="1">
      <protection hidden="1"/>
    </xf>
    <xf numFmtId="0" fontId="24" fillId="0" borderId="0" xfId="0" quotePrefix="1" applyFont="1" applyBorder="1" applyProtection="1">
      <protection hidden="1"/>
    </xf>
    <xf numFmtId="0" fontId="24" fillId="0" borderId="12" xfId="0" applyFont="1" applyBorder="1" applyProtection="1">
      <protection hidden="1"/>
    </xf>
    <xf numFmtId="0" fontId="24" fillId="0" borderId="0" xfId="0" applyFont="1"/>
    <xf numFmtId="0" fontId="24" fillId="0" borderId="0" xfId="0" applyFont="1" applyBorder="1" applyProtection="1">
      <protection locked="0"/>
    </xf>
    <xf numFmtId="0" fontId="19" fillId="25" borderId="16" xfId="0" applyNumberFormat="1" applyFont="1" applyFill="1" applyBorder="1" applyAlignment="1" applyProtection="1">
      <alignment horizontal="center" vertical="center"/>
      <protection hidden="1"/>
    </xf>
    <xf numFmtId="0" fontId="19" fillId="25" borderId="17" xfId="0" applyNumberFormat="1" applyFont="1" applyFill="1" applyBorder="1" applyAlignment="1" applyProtection="1">
      <alignment horizontal="center" vertical="center"/>
      <protection hidden="1"/>
    </xf>
    <xf numFmtId="0" fontId="19" fillId="25" borderId="18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top"/>
    </xf>
  </cellXfs>
  <cellStyles count="65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" xfId="19" builtinId="29" customBuiltin="1"/>
    <cellStyle name="Akzent1 2" xfId="20"/>
    <cellStyle name="Akzent2" xfId="21" builtinId="33" customBuiltin="1"/>
    <cellStyle name="Akzent2 2" xfId="22"/>
    <cellStyle name="Akzent3" xfId="23" builtinId="37" customBuiltin="1"/>
    <cellStyle name="Akzent3 2" xfId="24"/>
    <cellStyle name="Akzent4" xfId="25" builtinId="41" customBuiltin="1"/>
    <cellStyle name="Akzent4 2" xfId="26"/>
    <cellStyle name="Akzent5" xfId="27" builtinId="45" customBuiltin="1"/>
    <cellStyle name="Akzent5 2" xfId="28"/>
    <cellStyle name="Akzent6" xfId="29" builtinId="49" customBuiltin="1"/>
    <cellStyle name="Akzent6 2" xfId="30"/>
    <cellStyle name="Ausgabe" xfId="31" builtinId="21" customBuiltin="1"/>
    <cellStyle name="Ausgabe 2" xfId="32"/>
    <cellStyle name="Berechnung" xfId="33" builtinId="22" customBuiltin="1"/>
    <cellStyle name="Berechnung 2" xfId="34"/>
    <cellStyle name="Eingabe" xfId="35" builtinId="20" customBuiltin="1"/>
    <cellStyle name="Eingabe 2" xfId="36"/>
    <cellStyle name="Ergebnis" xfId="37" builtinId="25" customBuiltin="1"/>
    <cellStyle name="Ergebnis 2" xfId="38"/>
    <cellStyle name="Erklärender Text" xfId="39" builtinId="53" customBuiltin="1"/>
    <cellStyle name="Erklärender Text 2" xfId="40"/>
    <cellStyle name="Gut" xfId="41" builtinId="26" customBuiltin="1"/>
    <cellStyle name="Gut 2" xfId="42"/>
    <cellStyle name="Neutral" xfId="43" builtinId="28" customBuiltin="1"/>
    <cellStyle name="Neutral 2" xfId="44"/>
    <cellStyle name="Notiz" xfId="45" builtinId="10" customBuiltin="1"/>
    <cellStyle name="Notiz 2" xfId="46"/>
    <cellStyle name="Schlecht" xfId="47" builtinId="27" customBuiltin="1"/>
    <cellStyle name="Schlecht 2" xfId="48"/>
    <cellStyle name="Standard" xfId="0" builtinId="0"/>
    <cellStyle name="Überschrift" xfId="49" builtinId="15" customBuiltin="1"/>
    <cellStyle name="Überschrift 1" xfId="50" builtinId="16" customBuiltin="1"/>
    <cellStyle name="Überschrift 1 2" xfId="51"/>
    <cellStyle name="Überschrift 2" xfId="52" builtinId="17" customBuiltin="1"/>
    <cellStyle name="Überschrift 2 2" xfId="53"/>
    <cellStyle name="Überschrift 3" xfId="54" builtinId="18" customBuiltin="1"/>
    <cellStyle name="Überschrift 3 2" xfId="55"/>
    <cellStyle name="Überschrift 4" xfId="56" builtinId="19" customBuiltin="1"/>
    <cellStyle name="Überschrift 4 2" xfId="57"/>
    <cellStyle name="Überschrift 5" xfId="58"/>
    <cellStyle name="Verknüpfte Zelle" xfId="59" builtinId="24" customBuiltin="1"/>
    <cellStyle name="Verknüpfte Zelle 2" xfId="60"/>
    <cellStyle name="Warnender Text" xfId="61" builtinId="11" customBuiltin="1"/>
    <cellStyle name="Warnender Text 2" xfId="62"/>
    <cellStyle name="Zelle überprüfen" xfId="63" builtinId="23" customBuiltin="1"/>
    <cellStyle name="Zelle überprüfen 2" xfId="64"/>
  </cellStyles>
  <dxfs count="1">
    <dxf>
      <fill>
        <patternFill>
          <bgColor indexed="9"/>
        </patternFill>
      </fill>
      <border>
        <left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6577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9585976082249"/>
          <c:y val="0.14634262530666689"/>
          <c:w val="0.84042629589117446"/>
          <c:h val="0.552849917825185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'Überstunden oder Neueinstellung'!$AS$51:$AS$52</c:f>
              <c:strCache>
                <c:ptCount val="2"/>
                <c:pt idx="0">
                  <c:v>Überstunden</c:v>
                </c:pt>
                <c:pt idx="1">
                  <c:v>Neueinstellung</c:v>
                </c:pt>
              </c:strCache>
            </c:strRef>
          </c:cat>
          <c:val>
            <c:numRef>
              <c:f>'Überstunden oder Neueinstellung'!$AT$51:$AT$52</c:f>
              <c:numCache>
                <c:formatCode>#,##0</c:formatCode>
                <c:ptCount val="2"/>
                <c:pt idx="0">
                  <c:v>437908</c:v>
                </c:pt>
                <c:pt idx="1">
                  <c:v>532390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3380480"/>
        <c:axId val="103382016"/>
      </c:barChart>
      <c:catAx>
        <c:axId val="10338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38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82016"/>
        <c:scaling>
          <c:orientation val="minMax"/>
          <c:min val="0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33804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66675</xdr:rowOff>
    </xdr:from>
    <xdr:to>
      <xdr:col>18</xdr:col>
      <xdr:colOff>28575</xdr:colOff>
      <xdr:row>54</xdr:row>
      <xdr:rowOff>0</xdr:rowOff>
    </xdr:to>
    <xdr:graphicFrame macro="">
      <xdr:nvGraphicFramePr>
        <xdr:cNvPr id="5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AT55"/>
  <sheetViews>
    <sheetView showGridLines="0" tabSelected="1" zoomScaleNormal="75" zoomScaleSheetLayoutView="75" workbookViewId="0">
      <selection activeCell="H7" sqref="H7"/>
    </sheetView>
  </sheetViews>
  <sheetFormatPr baseColWidth="10" defaultRowHeight="12.75" x14ac:dyDescent="0.2"/>
  <cols>
    <col min="1" max="1" width="11.42578125" style="1" customWidth="1"/>
    <col min="2" max="2" width="1.7109375" style="1" customWidth="1"/>
    <col min="3" max="3" width="2.85546875" style="1" customWidth="1"/>
    <col min="4" max="4" width="20.7109375" style="1" customWidth="1"/>
    <col min="5" max="5" width="0.85546875" style="1" customWidth="1"/>
    <col min="6" max="6" width="9.7109375" style="1" customWidth="1"/>
    <col min="7" max="7" width="0.7109375" style="1" customWidth="1"/>
    <col min="8" max="8" width="11.7109375" style="1" customWidth="1"/>
    <col min="9" max="9" width="1.42578125" style="1" customWidth="1"/>
    <col min="10" max="10" width="2.85546875" style="1" customWidth="1"/>
    <col min="11" max="11" width="10.5703125" style="1" customWidth="1"/>
    <col min="12" max="12" width="14.28515625" style="1" customWidth="1"/>
    <col min="13" max="13" width="0.7109375" style="1" customWidth="1"/>
    <col min="14" max="14" width="9" style="1" customWidth="1"/>
    <col min="15" max="15" width="0.7109375" style="1" customWidth="1"/>
    <col min="16" max="16" width="4.7109375" style="1" bestFit="1" customWidth="1"/>
    <col min="17" max="17" width="0.7109375" style="1" customWidth="1"/>
    <col min="18" max="18" width="12.42578125" style="1" customWidth="1"/>
    <col min="19" max="19" width="0.7109375" style="1" customWidth="1"/>
    <col min="20" max="20" width="8.7109375" style="1" hidden="1" customWidth="1"/>
    <col min="21" max="21" width="0.85546875" style="1" customWidth="1"/>
    <col min="22" max="22" width="1.7109375" style="1" customWidth="1"/>
    <col min="23" max="23" width="11.42578125" style="3" customWidth="1"/>
    <col min="24" max="24" width="11.42578125" style="1" customWidth="1"/>
    <col min="25" max="25" width="11.42578125" style="1" hidden="1" customWidth="1"/>
    <col min="26" max="26" width="35.140625" style="1" hidden="1" customWidth="1"/>
    <col min="27" max="30" width="11.42578125" style="1" hidden="1" customWidth="1"/>
    <col min="31" max="36" width="0" style="1" hidden="1" customWidth="1"/>
    <col min="37" max="16384" width="11.42578125" style="1"/>
  </cols>
  <sheetData>
    <row r="2" spans="2:29" ht="13.5" thickBot="1" x14ac:dyDescent="0.25">
      <c r="U2" s="2"/>
    </row>
    <row r="3" spans="2:29" ht="27.75" customHeight="1" thickBot="1" x14ac:dyDescent="0.25">
      <c r="B3" s="63" t="s">
        <v>10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  <c r="V3" s="4"/>
      <c r="W3" s="5"/>
    </row>
    <row r="4" spans="2:29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2:29" x14ac:dyDescent="0.2">
      <c r="B5" s="6"/>
      <c r="C5" s="19" t="s">
        <v>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7"/>
      <c r="U5" s="8"/>
    </row>
    <row r="6" spans="2:29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Z6" s="27" t="s">
        <v>30</v>
      </c>
    </row>
    <row r="7" spans="2:29" x14ac:dyDescent="0.2">
      <c r="B7" s="6"/>
      <c r="C7" s="9" t="s">
        <v>52</v>
      </c>
      <c r="D7" s="7"/>
      <c r="E7" s="7"/>
      <c r="F7" s="7"/>
      <c r="G7" s="7"/>
      <c r="H7" s="24">
        <v>15000</v>
      </c>
      <c r="J7" s="7"/>
      <c r="K7" s="16" t="s">
        <v>6</v>
      </c>
      <c r="L7" s="16"/>
      <c r="M7" s="7"/>
      <c r="N7" s="18">
        <v>7.2999999999999995E-2</v>
      </c>
      <c r="O7" s="7"/>
      <c r="P7" s="20" t="s">
        <v>8</v>
      </c>
      <c r="Q7" s="7"/>
      <c r="R7" s="56">
        <v>52200</v>
      </c>
      <c r="S7" s="7"/>
      <c r="T7" s="7"/>
      <c r="U7" s="8"/>
      <c r="Z7" s="1" t="s">
        <v>31</v>
      </c>
      <c r="AA7" s="20">
        <f>+IF(AND(ISNUMBER(H14),H14&gt;0),1,0)</f>
        <v>1</v>
      </c>
    </row>
    <row r="8" spans="2:29" x14ac:dyDescent="0.2">
      <c r="B8" s="6"/>
      <c r="I8" s="7"/>
      <c r="J8" s="7"/>
      <c r="K8" s="16" t="s">
        <v>7</v>
      </c>
      <c r="L8" s="16"/>
      <c r="M8" s="7"/>
      <c r="N8" s="18">
        <v>1.175E-2</v>
      </c>
      <c r="O8" s="7"/>
      <c r="P8" s="20" t="s">
        <v>8</v>
      </c>
      <c r="Q8" s="7"/>
      <c r="R8" s="56">
        <v>52200</v>
      </c>
      <c r="S8" s="7"/>
      <c r="T8" s="7"/>
      <c r="U8" s="8"/>
      <c r="Z8" s="1" t="s">
        <v>32</v>
      </c>
      <c r="AA8" s="20">
        <f>+IF(AND(ISNUMBER(H16),ISNUMBER(H7),ISNUMBER(H17)),1,0)</f>
        <v>1</v>
      </c>
    </row>
    <row r="9" spans="2:29" x14ac:dyDescent="0.2">
      <c r="B9" s="6"/>
      <c r="C9" s="57" t="s">
        <v>0</v>
      </c>
      <c r="D9" s="9"/>
      <c r="E9" s="9"/>
      <c r="F9" s="9"/>
      <c r="G9" s="9"/>
      <c r="H9" s="22">
        <v>250</v>
      </c>
      <c r="I9" s="7"/>
      <c r="J9" s="7"/>
      <c r="K9" s="7" t="s">
        <v>2</v>
      </c>
      <c r="L9" s="7"/>
      <c r="M9" s="7"/>
      <c r="N9" s="18">
        <v>9.35E-2</v>
      </c>
      <c r="O9" s="7"/>
      <c r="P9" s="20" t="s">
        <v>8</v>
      </c>
      <c r="Q9" s="7"/>
      <c r="R9" s="56">
        <v>76200</v>
      </c>
      <c r="S9" s="7"/>
      <c r="T9" s="7"/>
      <c r="U9" s="8"/>
      <c r="Z9" s="1" t="s">
        <v>33</v>
      </c>
      <c r="AA9" s="20">
        <f>+IF(AND(ISNUMBER(H20),H20&gt;0),1,0)</f>
        <v>1</v>
      </c>
    </row>
    <row r="10" spans="2:29" x14ac:dyDescent="0.2">
      <c r="B10" s="6"/>
      <c r="C10" s="59" t="s">
        <v>53</v>
      </c>
      <c r="D10" s="57" t="s">
        <v>54</v>
      </c>
      <c r="E10" s="7"/>
      <c r="F10" s="7"/>
      <c r="G10" s="7"/>
      <c r="H10" s="22">
        <v>10</v>
      </c>
      <c r="I10" s="7"/>
      <c r="J10" s="7"/>
      <c r="K10" s="7" t="s">
        <v>3</v>
      </c>
      <c r="L10" s="7"/>
      <c r="M10" s="7"/>
      <c r="N10" s="18">
        <v>1.4999999999999999E-2</v>
      </c>
      <c r="O10" s="7"/>
      <c r="P10" s="20" t="s">
        <v>8</v>
      </c>
      <c r="Q10" s="7"/>
      <c r="R10" s="56">
        <v>76200</v>
      </c>
      <c r="S10" s="7"/>
      <c r="T10" s="7"/>
      <c r="U10" s="8"/>
      <c r="Z10" s="1" t="s">
        <v>34</v>
      </c>
      <c r="AA10" s="20">
        <f>+IF(AND(ISNUMBER(N7),ISNUMBER(R7),ISNUMBER(N8),ISNUMBER(R8),ISNUMBER(N9),ISNUMBER(R9),ISNUMBER(N10),ISNUMBER(R10)*ISNUMBER(N12)),1,0)</f>
        <v>1</v>
      </c>
    </row>
    <row r="11" spans="2:29" x14ac:dyDescent="0.2">
      <c r="B11" s="6"/>
      <c r="C11" s="59" t="s">
        <v>59</v>
      </c>
      <c r="D11" s="57" t="s">
        <v>55</v>
      </c>
      <c r="E11" s="7"/>
      <c r="F11" s="7"/>
      <c r="G11" s="7"/>
      <c r="H11" s="22">
        <v>30</v>
      </c>
      <c r="I11" s="7"/>
      <c r="J11" s="7"/>
      <c r="M11" s="7"/>
      <c r="O11" s="7"/>
      <c r="Q11" s="7"/>
      <c r="R11" s="7"/>
      <c r="S11" s="7"/>
      <c r="T11" s="7"/>
      <c r="U11" s="8"/>
      <c r="Z11" s="1" t="s">
        <v>35</v>
      </c>
      <c r="AA11" s="20">
        <f>+IF(AND(ISNUMBER(N14),ISNUMBER(R14)),1,0)</f>
        <v>1</v>
      </c>
    </row>
    <row r="12" spans="2:29" x14ac:dyDescent="0.2">
      <c r="B12" s="6"/>
      <c r="C12" s="59" t="s">
        <v>59</v>
      </c>
      <c r="D12" s="57" t="s">
        <v>56</v>
      </c>
      <c r="E12" s="7"/>
      <c r="F12" s="7"/>
      <c r="G12" s="7"/>
      <c r="H12" s="22">
        <v>10</v>
      </c>
      <c r="I12" s="7"/>
      <c r="J12" s="7"/>
      <c r="K12" s="57" t="s">
        <v>65</v>
      </c>
      <c r="L12" s="7"/>
      <c r="M12" s="7"/>
      <c r="N12" s="18">
        <v>0.02</v>
      </c>
      <c r="O12" s="7"/>
      <c r="P12" s="7"/>
      <c r="Q12" s="7"/>
      <c r="R12" s="7"/>
      <c r="S12" s="7"/>
      <c r="T12" s="7"/>
      <c r="U12" s="8"/>
    </row>
    <row r="13" spans="2:29" x14ac:dyDescent="0.2">
      <c r="B13" s="6"/>
      <c r="C13" s="59" t="s">
        <v>59</v>
      </c>
      <c r="D13" s="57" t="s">
        <v>57</v>
      </c>
      <c r="E13" s="7"/>
      <c r="F13" s="7"/>
      <c r="G13" s="7"/>
      <c r="H13" s="22"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  <c r="Z13" s="27" t="s">
        <v>36</v>
      </c>
      <c r="AA13" s="39">
        <f>+SUM(AA7:AA11)</f>
        <v>5</v>
      </c>
      <c r="AB13" s="1" t="s">
        <v>37</v>
      </c>
      <c r="AC13" s="40">
        <v>5</v>
      </c>
    </row>
    <row r="14" spans="2:29" ht="13.5" thickBot="1" x14ac:dyDescent="0.25">
      <c r="B14" s="6"/>
      <c r="C14" s="10" t="s">
        <v>1</v>
      </c>
      <c r="D14" s="60" t="s">
        <v>58</v>
      </c>
      <c r="E14" s="11"/>
      <c r="F14" s="11"/>
      <c r="G14" s="11"/>
      <c r="H14" s="23">
        <f>IF(ISERROR(IF(AA15&lt;=0,"",H9-SUM(H10:H13))),0,IF(AA15&lt;=0,"",H9-SUM(H10:H13)))</f>
        <v>198</v>
      </c>
      <c r="I14" s="7"/>
      <c r="J14" s="7"/>
      <c r="K14" s="62" t="s">
        <v>66</v>
      </c>
      <c r="L14" s="15"/>
      <c r="M14" s="7"/>
      <c r="N14" s="26">
        <v>0.25</v>
      </c>
      <c r="O14" s="7"/>
      <c r="P14" s="21" t="s">
        <v>17</v>
      </c>
      <c r="Q14" s="7"/>
      <c r="R14" s="24">
        <v>7500</v>
      </c>
      <c r="S14" s="7"/>
      <c r="T14" s="7"/>
      <c r="U14" s="8"/>
    </row>
    <row r="15" spans="2:29" x14ac:dyDescent="0.2">
      <c r="B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Z15" s="1" t="s">
        <v>49</v>
      </c>
      <c r="AA15" s="51">
        <f>+H9-SUM(H10:H13)</f>
        <v>198</v>
      </c>
    </row>
    <row r="16" spans="2:29" x14ac:dyDescent="0.2">
      <c r="B16" s="6"/>
      <c r="C16" s="57" t="s">
        <v>11</v>
      </c>
      <c r="D16" s="57"/>
      <c r="E16" s="57"/>
      <c r="F16" s="57"/>
      <c r="G16" s="7"/>
      <c r="H16" s="24">
        <v>8</v>
      </c>
      <c r="I16" s="7"/>
      <c r="J16" s="7"/>
      <c r="K16" s="15" t="s">
        <v>12</v>
      </c>
      <c r="L16" s="15"/>
      <c r="M16" s="7"/>
      <c r="N16" s="26">
        <v>7.4999999999999997E-2</v>
      </c>
      <c r="O16" s="7"/>
      <c r="P16" s="21" t="s">
        <v>17</v>
      </c>
      <c r="Q16" s="7"/>
      <c r="R16" s="24">
        <v>7500</v>
      </c>
      <c r="S16" s="7"/>
      <c r="T16" s="7"/>
      <c r="U16" s="8"/>
    </row>
    <row r="17" spans="2:28" x14ac:dyDescent="0.2">
      <c r="B17" s="6"/>
      <c r="C17" s="58" t="s">
        <v>60</v>
      </c>
      <c r="D17" s="58"/>
      <c r="E17" s="58"/>
      <c r="F17" s="58"/>
      <c r="H17" s="28">
        <v>17.5</v>
      </c>
      <c r="I17" s="7"/>
      <c r="J17" s="7"/>
      <c r="K17" s="15" t="s">
        <v>13</v>
      </c>
      <c r="L17" s="15"/>
      <c r="M17" s="7"/>
      <c r="N17" s="26">
        <v>8.5000000000000006E-2</v>
      </c>
      <c r="O17" s="7"/>
      <c r="P17" s="21" t="s">
        <v>17</v>
      </c>
      <c r="Q17" s="7"/>
      <c r="R17" s="24">
        <v>2975</v>
      </c>
      <c r="S17" s="7"/>
      <c r="T17" s="7"/>
      <c r="U17" s="8"/>
    </row>
    <row r="18" spans="2:28" x14ac:dyDescent="0.2">
      <c r="B18" s="6"/>
      <c r="I18" s="7"/>
      <c r="J18" s="7"/>
      <c r="K18" s="15" t="s">
        <v>14</v>
      </c>
      <c r="L18" s="15"/>
      <c r="M18" s="7"/>
      <c r="N18" s="26">
        <v>0</v>
      </c>
      <c r="O18" s="7"/>
      <c r="P18" s="21" t="s">
        <v>17</v>
      </c>
      <c r="Q18" s="7"/>
      <c r="R18" s="24">
        <v>0</v>
      </c>
      <c r="S18" s="7"/>
      <c r="T18" s="7"/>
      <c r="U18" s="8"/>
    </row>
    <row r="19" spans="2:28" x14ac:dyDescent="0.2">
      <c r="B19" s="6"/>
      <c r="C19" s="57" t="s">
        <v>61</v>
      </c>
      <c r="D19" s="7"/>
      <c r="E19" s="7"/>
      <c r="F19" s="7"/>
      <c r="G19" s="7"/>
      <c r="H19" s="25" t="s">
        <v>18</v>
      </c>
      <c r="I19" s="7"/>
      <c r="J19" s="7"/>
      <c r="K19" s="15" t="s">
        <v>14</v>
      </c>
      <c r="L19" s="15"/>
      <c r="M19" s="7"/>
      <c r="N19" s="26">
        <v>0</v>
      </c>
      <c r="O19" s="7"/>
      <c r="P19" s="21" t="s">
        <v>17</v>
      </c>
      <c r="Q19" s="7"/>
      <c r="R19" s="24">
        <v>0</v>
      </c>
      <c r="S19" s="7"/>
      <c r="T19" s="7"/>
      <c r="U19" s="8"/>
    </row>
    <row r="20" spans="2:28" x14ac:dyDescent="0.2">
      <c r="B20" s="6"/>
      <c r="C20" s="7" t="s">
        <v>16</v>
      </c>
      <c r="E20" s="7"/>
      <c r="F20" s="7"/>
      <c r="G20" s="7"/>
      <c r="H20" s="26">
        <v>0.25</v>
      </c>
      <c r="I20" s="7"/>
      <c r="J20" s="7"/>
      <c r="K20" s="15" t="s">
        <v>14</v>
      </c>
      <c r="L20" s="15"/>
      <c r="M20" s="7"/>
      <c r="N20" s="26">
        <v>0</v>
      </c>
      <c r="O20" s="7"/>
      <c r="P20" s="21" t="s">
        <v>17</v>
      </c>
      <c r="Q20" s="7"/>
      <c r="R20" s="24">
        <v>0</v>
      </c>
      <c r="S20" s="7"/>
      <c r="T20" s="7"/>
      <c r="U20" s="8"/>
    </row>
    <row r="21" spans="2:28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</row>
    <row r="22" spans="2:28" hidden="1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</row>
    <row r="23" spans="2:28" hidden="1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</row>
    <row r="24" spans="2:28" hidden="1" x14ac:dyDescent="0.2">
      <c r="B24" s="6"/>
      <c r="C24" s="19" t="s">
        <v>28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7"/>
      <c r="U24" s="8"/>
      <c r="X24" s="16"/>
      <c r="Z24" s="32"/>
      <c r="AB24" s="32"/>
    </row>
    <row r="25" spans="2:28" hidden="1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/>
      <c r="X25" s="16"/>
      <c r="AB25" s="32"/>
    </row>
    <row r="26" spans="2:28" x14ac:dyDescent="0.2">
      <c r="B26" s="6"/>
      <c r="C26" s="19" t="s">
        <v>43</v>
      </c>
      <c r="D26" s="19"/>
      <c r="E26" s="19"/>
      <c r="F26" s="19"/>
      <c r="G26" s="19"/>
      <c r="H26" s="19"/>
      <c r="I26" s="7"/>
      <c r="J26" s="7"/>
      <c r="K26" s="19" t="s">
        <v>44</v>
      </c>
      <c r="L26" s="19"/>
      <c r="M26" s="19"/>
      <c r="N26" s="19"/>
      <c r="O26" s="19"/>
      <c r="P26" s="19"/>
      <c r="Q26" s="19"/>
      <c r="R26" s="19"/>
      <c r="S26" s="7"/>
      <c r="T26" s="7"/>
      <c r="U26" s="8"/>
      <c r="X26" s="16"/>
      <c r="AB26" s="32"/>
    </row>
    <row r="27" spans="2:28" x14ac:dyDescent="0.2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X27" s="16"/>
      <c r="AB27" s="32"/>
    </row>
    <row r="28" spans="2:28" x14ac:dyDescent="0.2">
      <c r="B28" s="6"/>
      <c r="C28" t="s">
        <v>51</v>
      </c>
      <c r="D28"/>
      <c r="E28"/>
      <c r="F28"/>
      <c r="G28"/>
      <c r="H28" s="46">
        <f>IF(ISERROR(IF($AA$13=$AC$13,H7,"")),"",IF($AA$13=$AC$13,H7,""))</f>
        <v>15000</v>
      </c>
      <c r="I28"/>
      <c r="J28"/>
      <c r="K28" t="s">
        <v>25</v>
      </c>
      <c r="L28"/>
      <c r="M28"/>
      <c r="N28"/>
      <c r="O28"/>
      <c r="P28"/>
      <c r="Q28"/>
      <c r="R28" s="49">
        <f>IF(ISERROR(IF($AA$13=$AC$13,ROUND(H14*H16,0),"")),"",IF($AA$13=$AC$13,ROUND(H14*H16,0),""))</f>
        <v>1584</v>
      </c>
      <c r="S28" s="7"/>
      <c r="T28" s="7"/>
      <c r="U28" s="8"/>
      <c r="X28" s="7"/>
      <c r="AB28" s="32"/>
    </row>
    <row r="29" spans="2:28" x14ac:dyDescent="0.2">
      <c r="B29" s="6"/>
      <c r="C29" s="61" t="s">
        <v>62</v>
      </c>
      <c r="D29"/>
      <c r="E29"/>
      <c r="F29"/>
      <c r="G29"/>
      <c r="H29" s="47">
        <f>IF(ISERROR(IF($AA$13=$AC$13,H17)),"",IF($AA$13=$AC$13,H17,""))</f>
        <v>17.5</v>
      </c>
      <c r="I29"/>
      <c r="J29"/>
      <c r="K29" t="s">
        <v>26</v>
      </c>
      <c r="L29"/>
      <c r="M29"/>
      <c r="N29"/>
      <c r="O29"/>
      <c r="P29"/>
      <c r="Q29"/>
      <c r="R29" s="50">
        <f>IF(ISERROR(IF($AA$13=$AC$13,IF(H19="J",ROUNDUP(H7/R28,0),ROUND(H7/R28,2)),"")),"",IF($AA$13=$AC$13,IF(H19="J",ROUNDUP(H7/R28,0),ROUND(H7/R28,2)),""))</f>
        <v>10</v>
      </c>
      <c r="S29" s="7"/>
      <c r="T29" s="7"/>
      <c r="U29" s="8"/>
      <c r="X29" s="7"/>
      <c r="AB29" s="32"/>
    </row>
    <row r="30" spans="2:28" x14ac:dyDescent="0.2">
      <c r="B30" s="6"/>
      <c r="C30"/>
      <c r="D30"/>
      <c r="E30"/>
      <c r="F30"/>
      <c r="G30"/>
      <c r="H30" s="29"/>
      <c r="I30"/>
      <c r="J30"/>
      <c r="K30"/>
      <c r="L30"/>
      <c r="M30"/>
      <c r="N30"/>
      <c r="O30"/>
      <c r="P30"/>
      <c r="Q30"/>
      <c r="R30" s="35"/>
      <c r="S30" s="7"/>
      <c r="T30" s="7"/>
      <c r="U30" s="8"/>
      <c r="X30" s="7"/>
    </row>
    <row r="31" spans="2:28" x14ac:dyDescent="0.2">
      <c r="B31" s="6"/>
      <c r="C31" s="36" t="s">
        <v>19</v>
      </c>
      <c r="D31" s="36"/>
      <c r="E31" s="36"/>
      <c r="F31" s="36"/>
      <c r="G31" s="36"/>
      <c r="H31" s="44">
        <f>IF(ISERROR(IF($AA$13=$AC$13,ROUND(H29*H28,0),"")),"",IF($AA$13=$AC$13,ROUND(H29*H28,0),""))</f>
        <v>262500</v>
      </c>
      <c r="I31"/>
      <c r="J31"/>
      <c r="K31" s="27" t="s">
        <v>27</v>
      </c>
      <c r="L31" s="37"/>
      <c r="M31" s="36"/>
      <c r="N31" s="36"/>
      <c r="O31" s="36"/>
      <c r="P31" s="36"/>
      <c r="Q31" s="36"/>
      <c r="R31" s="44">
        <f>IF(ISERROR(IF($AA$13=$AC$13,ROUND(H17*H9*H16*R29,0),"")),"",IF($AA$13=$AC$13,ROUND(H17*H9*H16*R29,0),""))</f>
        <v>350000</v>
      </c>
      <c r="S31" s="7"/>
      <c r="T31" s="7"/>
      <c r="U31" s="8"/>
      <c r="W31" s="1"/>
    </row>
    <row r="32" spans="2:28" x14ac:dyDescent="0.2">
      <c r="B32" s="6"/>
      <c r="C32"/>
      <c r="D32"/>
      <c r="E32"/>
      <c r="F32"/>
      <c r="G32"/>
      <c r="H32"/>
      <c r="I32"/>
      <c r="J32"/>
      <c r="L32"/>
      <c r="M32"/>
      <c r="N32"/>
      <c r="O32"/>
      <c r="P32"/>
      <c r="Q32"/>
      <c r="R32"/>
      <c r="S32" s="7"/>
      <c r="T32" s="7"/>
      <c r="U32" s="8"/>
      <c r="Z32" s="27" t="s">
        <v>38</v>
      </c>
    </row>
    <row r="33" spans="2:29" x14ac:dyDescent="0.2">
      <c r="B33" s="6"/>
      <c r="C33" s="7" t="s">
        <v>15</v>
      </c>
      <c r="D33"/>
      <c r="E33"/>
      <c r="H33" s="48">
        <f>IF(ISERROR(IF($AA$13=$AC$13,ROUND($H$29*AA33*AB33,0),"")),"",IF($AA$13=$AC$13,ROUND($H$29*AA33*AB33,0),""))</f>
        <v>65625</v>
      </c>
      <c r="I33"/>
      <c r="J33"/>
      <c r="K33" s="1" t="s">
        <v>50</v>
      </c>
      <c r="N33" s="52">
        <f>IF(ISERROR(IF(SUM(N16:N17)&lt;=0,"",SUM(N16:N17))),"",IF(SUM(N16:N17)&lt;=0,"",SUM(N16:N17)))</f>
        <v>0.16</v>
      </c>
      <c r="O33"/>
      <c r="P33"/>
      <c r="Q33"/>
      <c r="R33" s="48">
        <f>IF(ISERROR(IF($AA$13=$AC$13,ROUND(N33*R31,0),"")),"",IF($AA$13=$AC$13,ROUND(N33*R31,0),""))</f>
        <v>56000</v>
      </c>
      <c r="S33" s="7"/>
      <c r="T33" s="7"/>
      <c r="U33" s="8"/>
      <c r="Z33" s="7" t="s">
        <v>15</v>
      </c>
      <c r="AA33" s="31">
        <f>+N14</f>
        <v>0.25</v>
      </c>
      <c r="AB33" s="34">
        <f>+H7</f>
        <v>15000</v>
      </c>
    </row>
    <row r="34" spans="2:29" x14ac:dyDescent="0.2">
      <c r="B34" s="6"/>
      <c r="C34" s="62" t="s">
        <v>63</v>
      </c>
      <c r="D34"/>
      <c r="E34"/>
      <c r="H34" s="48">
        <f>IF(ISERROR(IF($AA$13=$AC$13,ROUND($H$29*AA34*AB34,0),"")),"",IF($AA$13=$AC$13,ROUND($H$29*AA34*AB34,0),""))</f>
        <v>32813</v>
      </c>
      <c r="I34"/>
      <c r="J34"/>
      <c r="K34" s="62" t="s">
        <v>63</v>
      </c>
      <c r="O34"/>
      <c r="P34"/>
      <c r="Q34"/>
      <c r="R34" s="48">
        <f>IF($AA$13=$AC$13,H34,"")</f>
        <v>32813</v>
      </c>
      <c r="S34" s="7"/>
      <c r="T34" s="7"/>
      <c r="U34" s="8"/>
      <c r="Z34" s="15" t="s">
        <v>22</v>
      </c>
      <c r="AA34" s="31">
        <f>+N14</f>
        <v>0.25</v>
      </c>
      <c r="AB34" s="34">
        <f>+R14</f>
        <v>7500</v>
      </c>
    </row>
    <row r="35" spans="2:29" x14ac:dyDescent="0.2">
      <c r="B35" s="6"/>
      <c r="C35" s="15" t="s">
        <v>23</v>
      </c>
      <c r="D35"/>
      <c r="E35"/>
      <c r="H35" s="48">
        <f>IF(ISERROR(IF($AA$13=$AC$13,ROUND($H$29*AA35*AB35,0),"")),"",IF($AA$13=$AC$13,ROUND($H$29*AA35*AB35,0),""))</f>
        <v>0</v>
      </c>
      <c r="I35"/>
      <c r="J35"/>
      <c r="K35" s="15" t="s">
        <v>23</v>
      </c>
      <c r="O35"/>
      <c r="P35"/>
      <c r="Q35"/>
      <c r="R35" s="48">
        <f>IF($AA$13=$AC$13,IF($AA$13=$AC$13,H35,""),"")</f>
        <v>0</v>
      </c>
      <c r="S35" s="7"/>
      <c r="T35" s="7"/>
      <c r="U35" s="8"/>
      <c r="Z35" s="15" t="s">
        <v>23</v>
      </c>
      <c r="AA35" s="31">
        <f>+N18</f>
        <v>0</v>
      </c>
      <c r="AB35" s="34">
        <f>+R18</f>
        <v>0</v>
      </c>
    </row>
    <row r="36" spans="2:29" x14ac:dyDescent="0.2">
      <c r="B36" s="6"/>
      <c r="C36" s="15" t="s">
        <v>23</v>
      </c>
      <c r="D36"/>
      <c r="E36"/>
      <c r="H36" s="48">
        <f>IF(ISERROR(IF($AA$13=$AC$13,ROUND($H$29*AA36*AB36,0),"")),"",IF($AA$13=$AC$13,ROUND($H$29*AA36*AB36,0),""))</f>
        <v>0</v>
      </c>
      <c r="I36"/>
      <c r="J36"/>
      <c r="K36" s="15" t="s">
        <v>23</v>
      </c>
      <c r="L36"/>
      <c r="M36"/>
      <c r="N36"/>
      <c r="O36"/>
      <c r="P36"/>
      <c r="Q36"/>
      <c r="R36" s="48">
        <f>IF($AA$13=$AC$13,IF($AA$13=$AC$13,H36,""),"")</f>
        <v>0</v>
      </c>
      <c r="S36" s="7"/>
      <c r="T36" s="7"/>
      <c r="U36" s="8"/>
      <c r="Z36" s="15" t="s">
        <v>24</v>
      </c>
      <c r="AA36" s="31">
        <f>+N19</f>
        <v>0</v>
      </c>
      <c r="AB36" s="34">
        <f>+R19</f>
        <v>0</v>
      </c>
    </row>
    <row r="37" spans="2:29" x14ac:dyDescent="0.2">
      <c r="B37" s="6"/>
      <c r="C37" s="15" t="s">
        <v>23</v>
      </c>
      <c r="D37"/>
      <c r="E37"/>
      <c r="H37" s="48">
        <f>IF(ISERROR(IF($AA$13=$AC$13,ROUND($H$29*AA37*AB37,0),"")),"",IF($AA$13=$AC$13,ROUND($H$29*AA37*AB37,0),""))</f>
        <v>0</v>
      </c>
      <c r="I37"/>
      <c r="J37"/>
      <c r="K37" s="15" t="s">
        <v>23</v>
      </c>
      <c r="L37"/>
      <c r="M37"/>
      <c r="N37"/>
      <c r="O37"/>
      <c r="P37"/>
      <c r="Q37"/>
      <c r="R37" s="48">
        <f>IF($AA$13=$AC$13,IF($AA$13=$AC$13,H37,""),"")</f>
        <v>0</v>
      </c>
      <c r="S37" s="7"/>
      <c r="T37" s="7"/>
      <c r="U37" s="8"/>
      <c r="Z37" s="15" t="s">
        <v>23</v>
      </c>
      <c r="AA37" s="31">
        <f>+N20</f>
        <v>0</v>
      </c>
      <c r="AB37" s="34">
        <f>+R20</f>
        <v>0</v>
      </c>
    </row>
    <row r="38" spans="2:29" x14ac:dyDescent="0.2">
      <c r="B38" s="6"/>
      <c r="C38"/>
      <c r="D38"/>
      <c r="E38"/>
      <c r="F38"/>
      <c r="G38"/>
      <c r="H38"/>
      <c r="I38"/>
      <c r="J38"/>
      <c r="L38"/>
      <c r="M38"/>
      <c r="N38"/>
      <c r="O38"/>
      <c r="P38"/>
      <c r="Q38"/>
      <c r="R38"/>
      <c r="S38" s="7"/>
      <c r="T38" s="7"/>
      <c r="U38" s="8"/>
    </row>
    <row r="39" spans="2:29" x14ac:dyDescent="0.2">
      <c r="B39" s="6"/>
      <c r="C39" s="53" t="s">
        <v>64</v>
      </c>
      <c r="D39" s="36"/>
      <c r="E39" s="36"/>
      <c r="F39" s="36"/>
      <c r="G39" s="36"/>
      <c r="H39" s="44">
        <f>IF(ISERROR(IF($AA$13=$AC$13,SUM(H31:H37),"")),"",IF($AA$13=$AC$13,SUM(H31:H37),""))</f>
        <v>360938</v>
      </c>
      <c r="I39" s="36"/>
      <c r="J39" s="36"/>
      <c r="K39" s="53" t="s">
        <v>64</v>
      </c>
      <c r="L39" s="36"/>
      <c r="M39" s="36"/>
      <c r="N39" s="36"/>
      <c r="O39" s="36"/>
      <c r="P39" s="36"/>
      <c r="Q39" s="36"/>
      <c r="R39" s="44">
        <f>IF($AA$13=$AC$13,IF($AA$13=$AC$13,SUM(R31,R33:R37),""),"")</f>
        <v>438813</v>
      </c>
      <c r="S39" s="7"/>
      <c r="T39" s="7"/>
      <c r="U39" s="8"/>
      <c r="X39" s="3"/>
      <c r="Z39" s="27" t="s">
        <v>39</v>
      </c>
      <c r="AA39" s="32">
        <f>+SUM(N7:N12)</f>
        <v>0.21324999999999997</v>
      </c>
    </row>
    <row r="40" spans="2:29" x14ac:dyDescent="0.2">
      <c r="B40" s="6"/>
      <c r="C40"/>
      <c r="D40"/>
      <c r="E40"/>
      <c r="F40"/>
      <c r="G40"/>
      <c r="H40"/>
      <c r="I40"/>
      <c r="J40"/>
      <c r="L40"/>
      <c r="M40"/>
      <c r="N40"/>
      <c r="O40"/>
      <c r="P40"/>
      <c r="Q40"/>
      <c r="R40"/>
      <c r="S40" s="7"/>
      <c r="T40" s="7"/>
      <c r="U40" s="8"/>
      <c r="X40" s="3"/>
    </row>
    <row r="41" spans="2:29" x14ac:dyDescent="0.2">
      <c r="B41" s="6"/>
      <c r="C41" s="53" t="s">
        <v>20</v>
      </c>
      <c r="D41" s="36"/>
      <c r="E41" s="36"/>
      <c r="F41" s="27"/>
      <c r="G41" s="36"/>
      <c r="H41" s="44">
        <f>IF(ISERROR(IF($AA$13=$AC$13,ROUND(AA39*H39,0),"")),"",IF($AA$13=$AC$13,ROUND(AA39*H39,0),""))</f>
        <v>76970</v>
      </c>
      <c r="I41" s="36"/>
      <c r="J41" s="36"/>
      <c r="K41" s="53" t="s">
        <v>20</v>
      </c>
      <c r="L41" s="36"/>
      <c r="M41" s="36"/>
      <c r="N41" s="36"/>
      <c r="O41" s="36"/>
      <c r="P41" s="36"/>
      <c r="Q41" s="36"/>
      <c r="R41" s="44">
        <f>IF($AA$13=$AC$13,IF($AA$13=$AC$13,ROUND(AA39*R39,0),""),"")</f>
        <v>93577</v>
      </c>
      <c r="S41" s="7"/>
      <c r="T41" s="7"/>
      <c r="U41" s="8"/>
    </row>
    <row r="42" spans="2:29" x14ac:dyDescent="0.2">
      <c r="B42" s="6"/>
      <c r="C42" s="33"/>
      <c r="D42"/>
      <c r="E42"/>
      <c r="G42"/>
      <c r="H42" s="30"/>
      <c r="I42"/>
      <c r="J42"/>
      <c r="K42" s="33"/>
      <c r="L42"/>
      <c r="M42"/>
      <c r="N42"/>
      <c r="O42"/>
      <c r="P42"/>
      <c r="Q42"/>
      <c r="R42" s="38"/>
      <c r="S42" s="7"/>
      <c r="T42" s="7"/>
      <c r="U42" s="8"/>
    </row>
    <row r="43" spans="2:29" x14ac:dyDescent="0.2">
      <c r="B43" s="6"/>
      <c r="C43" s="19" t="s">
        <v>47</v>
      </c>
      <c r="D43" s="19"/>
      <c r="E43" s="19"/>
      <c r="F43" s="19"/>
      <c r="G43" s="19"/>
      <c r="H43" s="19"/>
      <c r="I43" s="7"/>
      <c r="J43" s="7"/>
      <c r="K43" s="19" t="s">
        <v>48</v>
      </c>
      <c r="L43" s="19"/>
      <c r="M43" s="19"/>
      <c r="N43" s="19"/>
      <c r="O43" s="19"/>
      <c r="P43" s="19"/>
      <c r="Q43" s="19"/>
      <c r="R43" s="19"/>
      <c r="S43" s="19"/>
      <c r="T43" s="7"/>
      <c r="U43" s="8"/>
    </row>
    <row r="44" spans="2:29" ht="13.15" customHeight="1" x14ac:dyDescent="0.2">
      <c r="B44" s="6"/>
      <c r="C44"/>
      <c r="D44"/>
      <c r="E44"/>
      <c r="F44"/>
      <c r="G44"/>
      <c r="H44"/>
      <c r="I44"/>
      <c r="J44"/>
      <c r="L44"/>
      <c r="M44"/>
      <c r="N44"/>
      <c r="O44"/>
      <c r="P44"/>
      <c r="Q44"/>
      <c r="R44"/>
      <c r="S44" s="7"/>
      <c r="T44" s="7"/>
      <c r="U44" s="8"/>
      <c r="Z44" s="1" t="s">
        <v>29</v>
      </c>
      <c r="AA44" s="1">
        <f>IF(ISERROR(IF(OR(H45=0,R45=0),4,IF(H45=R45,1,IF(H45&lt;R45,2,3)))),4,IF(OR(H45=0,R45=0),4,IF(H45=R45,1,IF(H45&lt;R45,2,3))))</f>
        <v>2</v>
      </c>
      <c r="AB44" s="1">
        <v>0</v>
      </c>
      <c r="AC44" s="1" t="s">
        <v>9</v>
      </c>
    </row>
    <row r="45" spans="2:29" ht="13.5" customHeight="1" x14ac:dyDescent="0.2">
      <c r="B45" s="6"/>
      <c r="C45" s="36" t="s">
        <v>4</v>
      </c>
      <c r="D45" s="36"/>
      <c r="E45" s="36"/>
      <c r="F45" s="36"/>
      <c r="G45" s="36"/>
      <c r="H45" s="44">
        <f>IF(ISERROR(IF($AA$13=$AC$13,SUM(H39,H41),"")),"",IF($AA$13=$AC$13,SUM(H39,H41),""))</f>
        <v>437908</v>
      </c>
      <c r="I45" s="36"/>
      <c r="J45" s="36"/>
      <c r="K45" s="36" t="s">
        <v>4</v>
      </c>
      <c r="L45" s="36"/>
      <c r="M45" s="36"/>
      <c r="N45" s="36"/>
      <c r="O45" s="36"/>
      <c r="P45" s="36"/>
      <c r="Q45" s="36"/>
      <c r="R45" s="44">
        <f>IF($AA$13=$AC$13,IF($AA$13=$AC$13,R39+R41,""),"")</f>
        <v>532390</v>
      </c>
      <c r="S45" s="7"/>
      <c r="T45" s="7"/>
      <c r="U45" s="8"/>
      <c r="Z45" s="1" t="s">
        <v>42</v>
      </c>
      <c r="AA45" s="17">
        <f>+R45</f>
        <v>532390</v>
      </c>
      <c r="AB45" s="17">
        <v>1</v>
      </c>
      <c r="AC45" s="1" t="str">
        <f>"Ergebnis: Die Kosten sind identisch und Betragen in beiden Fällen "&amp;TEXT(P45,"#.###")&amp;" €."</f>
        <v>Ergebnis: Die Kosten sind identisch und Betragen in beiden Fällen  €.</v>
      </c>
    </row>
    <row r="46" spans="2:29" x14ac:dyDescent="0.2">
      <c r="B46" s="6"/>
      <c r="C46" s="36" t="s">
        <v>21</v>
      </c>
      <c r="D46" s="36"/>
      <c r="E46" s="36"/>
      <c r="F46" s="36"/>
      <c r="G46" s="36"/>
      <c r="H46" s="45">
        <f>IF(ISERROR(IF($AA$13=$AC$13,ROUND(H45/H28,2),"")),"",IF($AA$13=$AC$13,ROUND(H45/H28,2),""))</f>
        <v>29.19</v>
      </c>
      <c r="I46" s="36"/>
      <c r="J46" s="36"/>
      <c r="K46" s="36" t="s">
        <v>21</v>
      </c>
      <c r="L46" s="36"/>
      <c r="M46" s="36"/>
      <c r="N46" s="36"/>
      <c r="O46" s="36"/>
      <c r="P46" s="36"/>
      <c r="Q46" s="36"/>
      <c r="R46" s="45">
        <f>IF($AA$13=$AC$13,IF($AA$13=$AC$13,ROUND(R45/(R28*R29),2),""),"")</f>
        <v>33.61</v>
      </c>
      <c r="S46" s="7"/>
      <c r="T46" s="7"/>
      <c r="U46" s="8"/>
      <c r="Z46" s="1" t="s">
        <v>40</v>
      </c>
      <c r="AA46" s="17">
        <f>+R45-H45</f>
        <v>94482</v>
      </c>
      <c r="AB46" s="17">
        <v>2</v>
      </c>
      <c r="AC46" s="1" t="str">
        <f>"Ergebnis: Es ist günstiger, Überstunden anzusetzen. Die Kostendifferenz beträgt "&amp;TEXT(AA46,"#.###")&amp;" €."</f>
        <v>Ergebnis: Es ist günstiger, Überstunden anzusetzen. Die Kostendifferenz beträgt 94.482 €.</v>
      </c>
    </row>
    <row r="47" spans="2:29" x14ac:dyDescent="0.2">
      <c r="B47" s="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7"/>
      <c r="T47" s="7"/>
      <c r="U47" s="8"/>
      <c r="Z47" s="1" t="s">
        <v>41</v>
      </c>
      <c r="AA47" s="17">
        <f>+H45-R45</f>
        <v>-94482</v>
      </c>
      <c r="AB47" s="17">
        <v>3</v>
      </c>
      <c r="AC47" s="1" t="str">
        <f>"Ergebnis: Die Neueinstellung ist günster. Die Kostendifferenz beträgt "&amp;TEXT(AA47,"#.###")&amp;" €."</f>
        <v>Ergebnis: Die Neueinstellung ist günster. Die Kostendifferenz beträgt -94.482 €.</v>
      </c>
    </row>
    <row r="48" spans="2:29" x14ac:dyDescent="0.2">
      <c r="B48" s="6"/>
      <c r="C48" s="66" t="str">
        <f>+AC49</f>
        <v>Ergebnis: Es ist günstiger, Überstunden anzusetzen. Die Kostendifferenz beträgt 94.482 €.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7"/>
      <c r="U48" s="8"/>
      <c r="AB48" s="1">
        <v>4</v>
      </c>
      <c r="AC48" s="1" t="s">
        <v>9</v>
      </c>
    </row>
    <row r="49" spans="2:46" x14ac:dyDescent="0.2">
      <c r="B49" s="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7"/>
      <c r="U49" s="8"/>
      <c r="AC49" s="1" t="str">
        <f>+VLOOKUP(AA44,AB44:AC48,2,FALSE)</f>
        <v>Ergebnis: Es ist günstiger, Überstunden anzusetzen. Die Kostendifferenz beträgt 94.482 €.</v>
      </c>
    </row>
    <row r="50" spans="2:46" x14ac:dyDescent="0.2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8"/>
    </row>
    <row r="51" spans="2:46" x14ac:dyDescent="0.2">
      <c r="B51" s="6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7"/>
      <c r="U51" s="8"/>
      <c r="AS51" s="54" t="s">
        <v>45</v>
      </c>
      <c r="AT51" s="55">
        <f>+H45</f>
        <v>437908</v>
      </c>
    </row>
    <row r="52" spans="2:46" x14ac:dyDescent="0.2">
      <c r="B52" s="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7"/>
      <c r="U52" s="8"/>
      <c r="AS52" s="54" t="s">
        <v>46</v>
      </c>
      <c r="AT52" s="55">
        <f>+R45</f>
        <v>532390</v>
      </c>
    </row>
    <row r="53" spans="2:46" x14ac:dyDescent="0.2">
      <c r="B53" s="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2"/>
      <c r="T53" s="7"/>
      <c r="U53" s="8"/>
    </row>
    <row r="54" spans="2:46" x14ac:dyDescent="0.2">
      <c r="B54" s="6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2"/>
      <c r="T54" s="7"/>
      <c r="U54" s="8"/>
    </row>
    <row r="55" spans="2:46" ht="13.5" thickBot="1" x14ac:dyDescent="0.25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4"/>
    </row>
  </sheetData>
  <mergeCells count="2">
    <mergeCell ref="B3:U3"/>
    <mergeCell ref="C48:S49"/>
  </mergeCells>
  <phoneticPr fontId="23" type="noConversion"/>
  <conditionalFormatting sqref="N7:N8">
    <cfRule type="expression" dxfId="0" priority="2" stopIfTrue="1">
      <formula>#REF!=1</formula>
    </cfRule>
  </conditionalFormatting>
  <dataValidations count="19">
    <dataValidation type="decimal" allowBlank="1" showInputMessage="1" showErrorMessage="1" errorTitle="Bruttolohn je Stunde" error="Hier bitte den Bruttolohn je Stunde eingeben." sqref="H17">
      <formula1>0</formula1>
      <formula2>250</formula2>
    </dataValidation>
    <dataValidation type="whole" allowBlank="1" showInputMessage="1" showErrorMessage="1" errorTitle="Erforderliche Überstunden" error="Hier bitte die Anzahl der erforderlichen Überstunden eingeben (maximal 999.999 Stunden)." sqref="H7">
      <formula1>0</formula1>
      <formula2>999999</formula2>
    </dataValidation>
    <dataValidation type="whole" allowBlank="1" showErrorMessage="1" errorTitle="Sonstige bezahlte Tage" error="Hier bitte die sonstigen bezahlten Arbeitstage (z. B. für Weiterbildung) eingeben (maximal 25)." sqref="H13">
      <formula1>0</formula1>
      <formula2>25</formula2>
    </dataValidation>
    <dataValidation type="whole" allowBlank="1" showErrorMessage="1" errorTitle="Krankheitstage eingeben" error="Hier bitte die Anzahl der voraussichtlichen Krankheitstage eingeben (maximal 50=." sqref="H12">
      <formula1>0</formula1>
      <formula2>50</formula2>
    </dataValidation>
    <dataValidation type="whole" allowBlank="1" showErrorMessage="1" errorTitle="Urlaubstage eingeben" error="Hier bitte die Anzahl der Urlaubstage eingeben (maximal 40)" sqref="H11">
      <formula1>0</formula1>
      <formula2>40</formula2>
    </dataValidation>
    <dataValidation type="whole" allowBlank="1" showErrorMessage="1" errorTitle="Feiertage eingeben" error="Hier bitte die Anzahl der Feiertage eingeben (maximal 25)" sqref="H10">
      <formula1>0</formula1>
      <formula2>25</formula2>
    </dataValidation>
    <dataValidation type="whole" allowBlank="1" showErrorMessage="1" errorTitle="Tage eingeben" error="Hier bitte nur ganze Tage zwischen 0 und 366 eingeben." sqref="H9">
      <formula1>0</formula1>
      <formula2>366</formula2>
    </dataValidation>
    <dataValidation type="whole" allowBlank="1" showInputMessage="1" showErrorMessage="1" errorTitle="Arbeitszeit je Tag" error="Hier bitte die Arbeitszeit in Stunden eingeben." sqref="H16">
      <formula1>0</formula1>
      <formula2>24</formula2>
    </dataValidation>
    <dataValidation type="list" allowBlank="1" showInputMessage="1" showErrorMessage="1" sqref="H19">
      <formula1>"J,N"</formula1>
    </dataValidation>
    <dataValidation type="decimal" allowBlank="1" showInputMessage="1" showErrorMessage="1" errorTitle="BG und Insolvenzgeldumlage" error="Hier bitte die Kosten für die Berufsgenossenschaft und Insolvenzgeldumlage in Prozent eingeben." sqref="N12">
      <formula1>0</formula1>
      <formula2>0.25</formula2>
    </dataValidation>
    <dataValidation type="decimal" allowBlank="1" showInputMessage="1" showErrorMessage="1" errorTitle="Arbeitgeberbeiträge" error="Hier bitte die Arbeitgeberbeiträge für die Sozialversicherung eingeben." sqref="N7:N10">
      <formula1>0</formula1>
      <formula2>0.25</formula2>
    </dataValidation>
    <dataValidation type="decimal" allowBlank="1" showInputMessage="1" showErrorMessage="1" errorTitle="Schichtzulage" error="Hier eine mögliche Schichtzulage in Prozent (maximal 100 % eingeben)" sqref="N14">
      <formula1>0</formula1>
      <formula2>1</formula2>
    </dataValidation>
    <dataValidation type="decimal" allowBlank="1" showInputMessage="1" showErrorMessage="1" errorTitle="Weihnachtsgeld" error="Hier bitte das Weichnachtsgeld in Prozent des Grundgehalts eingeben (maximal 250 %)." sqref="N16">
      <formula1>0</formula1>
      <formula2>2.5</formula2>
    </dataValidation>
    <dataValidation type="decimal" allowBlank="1" showInputMessage="1" showErrorMessage="1" errorTitle="Urlaubsgeld" error="Hier bitte das Urlaubsgeld in Prozent des Grundgehalts eingeben (maximal 250 Prozent)." sqref="N17">
      <formula1>0</formula1>
      <formula2>2.5</formula2>
    </dataValidation>
    <dataValidation type="decimal" allowBlank="1" showInputMessage="1" showErrorMessage="1" errorTitle="Sonstige Zulagen" error="Hier bitte die sonstigen Zulagen in Prozent des Grundgehalts eingeben (maximal 250 %)" sqref="N18:N20">
      <formula1>0</formula1>
      <formula2>2.5</formula2>
    </dataValidation>
    <dataValidation type="decimal" allowBlank="1" showInputMessage="1" showErrorMessage="1" errorTitle="Überstundenzuschlag" error="Hier bitte den Überstundenzuschlag in Prozent eingeben (maximal 250 %)." sqref="H20">
      <formula1>0</formula1>
      <formula2>2.5</formula2>
    </dataValidation>
    <dataValidation type="whole" allowBlank="1" showInputMessage="1" showErrorMessage="1" errorTitle="Beitragsbemessungsgrenze" error="Hier die Beitragsbemessungsgrenze eingeben." sqref="R7:R10">
      <formula1>0</formula1>
      <formula2>125000</formula2>
    </dataValidation>
    <dataValidation type="whole" allowBlank="1" showInputMessage="1" showErrorMessage="1" errorTitle="Anzahl Stunden" error="Hier die Anzahl Stunden der Schicht-Zuschlage eingeben." sqref="R14">
      <formula1>0</formula1>
      <formula2>999999</formula2>
    </dataValidation>
    <dataValidation type="whole" allowBlank="1" showInputMessage="1" showErrorMessage="1" errorTitle="Anzahl Stunden" error="Hier bitte die Anzahl der Stunden der jeweiligen Kostenart (maximal 999.999 Stunden) eingeben." sqref="R16:R20">
      <formula1>0</formula1>
      <formula2>999999</formula2>
    </dataValidation>
  </dataValidations>
  <printOptions horizontalCentered="1"/>
  <pageMargins left="0.47244094488188981" right="0.47244094488188981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Überstunden oder Neueinstellung</vt:lpstr>
      <vt:lpstr>'Überstunden oder Neueinstellung'!Druckbereich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2018-01-15T16:00:10Z</dcterms:created>
  <dcterms:modified xsi:type="dcterms:W3CDTF">2018-01-15T16:00:12Z</dcterms:modified>
</cp:coreProperties>
</file>