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filterPrivacy="1" defaultThemeVersion="124226"/>
  <bookViews>
    <workbookView xWindow="120" yWindow="90" windowWidth="15480" windowHeight="10005" tabRatio="580" activeTab="0"/>
  </bookViews>
  <sheets>
    <sheet name="Annuitätenrechner" sheetId="1" r:id="rId1"/>
    <sheet name="Tabelle1" sheetId="2" r:id="rId2"/>
  </sheets>
  <definedNames>
    <definedName name="BeispielB3">#REF!</definedName>
    <definedName name="BerechnungB2">#REF!</definedName>
    <definedName name="_xlnm.Print_Area" localSheetId="0">'Annuitätenrechner'!$B$10:$J$384</definedName>
    <definedName name="EingabenB3">'Annuitätenrechner'!#REF!</definedName>
    <definedName name="HilfeB3">#REF!</definedName>
    <definedName name="HinweiseB3">#REF!</definedName>
    <definedName name="StartG10">#REF!</definedName>
    <definedName name="Startseite">#REF!</definedName>
    <definedName name="StartseiteB5">#REF!</definedName>
    <definedName name="StartseiteG10">#REF!</definedName>
    <definedName name="_xlnm.Print_Titles" localSheetId="0">'Annuitätenrechner'!$41:$41</definedName>
  </definedNames>
  <calcPr calcId="145621"/>
</workbook>
</file>

<file path=xl/sharedStrings.xml><?xml version="1.0" encoding="utf-8"?>
<sst xmlns="http://schemas.openxmlformats.org/spreadsheetml/2006/main" count="56" uniqueCount="47">
  <si>
    <t>Jahr</t>
  </si>
  <si>
    <t>Mai</t>
  </si>
  <si>
    <t>Zinsen</t>
  </si>
  <si>
    <t>Monat</t>
  </si>
  <si>
    <t>Monate</t>
  </si>
  <si>
    <t>Annuität</t>
  </si>
  <si>
    <t>Zahlungsweise jeweils zum:</t>
  </si>
  <si>
    <t>Zahlung</t>
  </si>
  <si>
    <t>1.</t>
  </si>
  <si>
    <t>15.</t>
  </si>
  <si>
    <t>Jan.</t>
  </si>
  <si>
    <t>Febr.</t>
  </si>
  <si>
    <t>März</t>
  </si>
  <si>
    <t>Apri</t>
  </si>
  <si>
    <t>Juni</t>
  </si>
  <si>
    <t>Juli</t>
  </si>
  <si>
    <t>Aug.</t>
  </si>
  <si>
    <t>Sept.</t>
  </si>
  <si>
    <t>Okt.</t>
  </si>
  <si>
    <t>Nov.</t>
  </si>
  <si>
    <t>Dez.</t>
  </si>
  <si>
    <t>Zahlungen</t>
  </si>
  <si>
    <t>Datum</t>
  </si>
  <si>
    <t>Restschuld</t>
  </si>
  <si>
    <t>Tilgung</t>
  </si>
  <si>
    <t>Tag</t>
  </si>
  <si>
    <t>Zahlungen:</t>
  </si>
  <si>
    <t>Darlehen über:</t>
  </si>
  <si>
    <t>Auszahlung:</t>
  </si>
  <si>
    <t>Zinssatz:</t>
  </si>
  <si>
    <t>Summen</t>
  </si>
  <si>
    <t>Zeitraum</t>
  </si>
  <si>
    <t>Eingaben</t>
  </si>
  <si>
    <t>Ergebniszusammenfassung</t>
  </si>
  <si>
    <t>Detaillierter Tilgungsplan</t>
  </si>
  <si>
    <t>Annuitätenrechner</t>
  </si>
  <si>
    <t>Höhe der Zahlungen insgesamt:</t>
  </si>
  <si>
    <t>Gezahlte Zinsen:</t>
  </si>
  <si>
    <t>Darlehenshöhe:</t>
  </si>
  <si>
    <t>Disagio:</t>
  </si>
  <si>
    <t>Auszahlungsbetrag:</t>
  </si>
  <si>
    <t>Beginn der Rückzahlung:</t>
  </si>
  <si>
    <t>Zinssatz in %:</t>
  </si>
  <si>
    <t>Tilgung in %:</t>
  </si>
  <si>
    <t>Zahlung erfolgt::</t>
  </si>
  <si>
    <t>Tilgung/Jahr:</t>
  </si>
  <si>
    <t>Anzahl der Zahlungen: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</si>
</sst>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d/mm/yy;@"/>
  </numFmts>
  <fonts count="23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color rgb="FF00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4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23" borderId="9" applyNumberFormat="0" applyAlignment="0" applyProtection="0"/>
  </cellStyleXfs>
  <cellXfs count="125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/>
    <xf numFmtId="0" fontId="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10" xfId="0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1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49" fontId="0" fillId="0" borderId="16" xfId="0" applyNumberFormat="1" applyFont="1" applyFill="1" applyBorder="1" applyAlignment="1" applyProtection="1">
      <alignment horizontal="right"/>
      <protection hidden="1"/>
    </xf>
    <xf numFmtId="49" fontId="0" fillId="0" borderId="17" xfId="0" applyNumberFormat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49" fontId="0" fillId="0" borderId="19" xfId="0" applyNumberFormat="1" applyFont="1" applyFill="1" applyBorder="1" applyAlignment="1" applyProtection="1">
      <alignment horizontal="right"/>
      <protection hidden="1"/>
    </xf>
    <xf numFmtId="0" fontId="0" fillId="0" borderId="20" xfId="0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4" xfId="0" applyFont="1" applyFill="1" applyBorder="1" applyProtection="1">
      <protection hidden="1"/>
    </xf>
    <xf numFmtId="0" fontId="0" fillId="0" borderId="25" xfId="0" applyFont="1" applyFill="1" applyBorder="1" applyProtection="1">
      <protection locked="0"/>
    </xf>
    <xf numFmtId="0" fontId="0" fillId="0" borderId="25" xfId="0" applyFont="1" applyFill="1" applyBorder="1" applyProtection="1"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Protection="1">
      <protection hidden="1"/>
    </xf>
    <xf numFmtId="0" fontId="0" fillId="0" borderId="27" xfId="0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Protection="1">
      <protection locked="0"/>
    </xf>
    <xf numFmtId="0" fontId="0" fillId="0" borderId="19" xfId="0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28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Protection="1">
      <protection hidden="1"/>
    </xf>
    <xf numFmtId="0" fontId="0" fillId="0" borderId="30" xfId="0" applyFont="1" applyFill="1" applyBorder="1" applyProtection="1">
      <protection hidden="1"/>
    </xf>
    <xf numFmtId="164" fontId="0" fillId="0" borderId="31" xfId="0" applyNumberFormat="1" applyFont="1" applyFill="1" applyBorder="1" applyProtection="1">
      <protection hidden="1"/>
    </xf>
    <xf numFmtId="0" fontId="0" fillId="0" borderId="31" xfId="0" applyFont="1" applyFill="1" applyBorder="1" applyProtection="1">
      <protection hidden="1"/>
    </xf>
    <xf numFmtId="0" fontId="0" fillId="0" borderId="32" xfId="0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28" xfId="0" applyFont="1" applyFill="1" applyBorder="1" applyProtection="1">
      <protection hidden="1"/>
    </xf>
    <xf numFmtId="0" fontId="0" fillId="0" borderId="33" xfId="0" applyFont="1" applyFill="1" applyBorder="1" applyProtection="1">
      <protection hidden="1"/>
    </xf>
    <xf numFmtId="8" fontId="0" fillId="0" borderId="0" xfId="0" applyNumberFormat="1" applyFont="1" applyFill="1" applyProtection="1">
      <protection hidden="1"/>
    </xf>
    <xf numFmtId="0" fontId="0" fillId="0" borderId="13" xfId="0" applyFont="1" applyFill="1" applyBorder="1" applyProtection="1">
      <protection hidden="1"/>
    </xf>
    <xf numFmtId="0" fontId="0" fillId="0" borderId="34" xfId="0" applyFont="1" applyFill="1" applyBorder="1" applyProtection="1">
      <protection hidden="1"/>
    </xf>
    <xf numFmtId="0" fontId="0" fillId="0" borderId="35" xfId="0" applyFont="1" applyFill="1" applyBorder="1" applyProtection="1">
      <protection hidden="1"/>
    </xf>
    <xf numFmtId="0" fontId="0" fillId="0" borderId="26" xfId="0" applyFont="1" applyFill="1" applyBorder="1" applyProtection="1">
      <protection hidden="1"/>
    </xf>
    <xf numFmtId="0" fontId="0" fillId="0" borderId="36" xfId="0" applyFont="1" applyFill="1" applyBorder="1" applyProtection="1">
      <protection hidden="1"/>
    </xf>
    <xf numFmtId="0" fontId="0" fillId="0" borderId="27" xfId="0" applyFont="1" applyFill="1" applyBorder="1" applyProtection="1">
      <protection hidden="1"/>
    </xf>
    <xf numFmtId="0" fontId="0" fillId="0" borderId="15" xfId="0" applyFont="1" applyFill="1" applyBorder="1" applyProtection="1">
      <protection hidden="1"/>
    </xf>
    <xf numFmtId="0" fontId="0" fillId="0" borderId="25" xfId="0" applyFont="1" applyFill="1" applyBorder="1" applyProtection="1">
      <protection hidden="1"/>
    </xf>
    <xf numFmtId="0" fontId="0" fillId="0" borderId="17" xfId="0" applyFont="1" applyFill="1" applyBorder="1" applyProtection="1">
      <protection hidden="1"/>
    </xf>
    <xf numFmtId="0" fontId="0" fillId="0" borderId="18" xfId="0" applyFont="1" applyFill="1" applyBorder="1" applyProtection="1">
      <protection hidden="1"/>
    </xf>
    <xf numFmtId="0" fontId="0" fillId="0" borderId="37" xfId="0" applyFont="1" applyFill="1" applyBorder="1" applyProtection="1">
      <protection hidden="1"/>
    </xf>
    <xf numFmtId="0" fontId="0" fillId="0" borderId="19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164" fontId="0" fillId="0" borderId="0" xfId="0" applyNumberFormat="1" applyFont="1" applyFill="1" applyProtection="1"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8" xfId="0" applyFont="1" applyFill="1" applyBorder="1" applyProtection="1">
      <protection hidden="1"/>
    </xf>
    <xf numFmtId="0" fontId="0" fillId="0" borderId="39" xfId="0" applyFont="1" applyFill="1" applyBorder="1" applyProtection="1">
      <protection hidden="1"/>
    </xf>
    <xf numFmtId="0" fontId="0" fillId="0" borderId="22" xfId="0" applyFont="1" applyFill="1" applyBorder="1" applyProtection="1">
      <protection hidden="1"/>
    </xf>
    <xf numFmtId="4" fontId="20" fillId="21" borderId="25" xfId="0" applyNumberFormat="1" applyFont="1" applyFill="1" applyBorder="1" applyProtection="1">
      <protection locked="0"/>
    </xf>
    <xf numFmtId="10" fontId="0" fillId="21" borderId="25" xfId="0" applyNumberFormat="1" applyFont="1" applyFill="1" applyBorder="1" applyProtection="1">
      <protection locked="0"/>
    </xf>
    <xf numFmtId="4" fontId="0" fillId="24" borderId="25" xfId="0" applyNumberFormat="1" applyFont="1" applyFill="1" applyBorder="1" applyProtection="1">
      <protection hidden="1"/>
    </xf>
    <xf numFmtId="4" fontId="20" fillId="24" borderId="25" xfId="0" applyNumberFormat="1" applyFont="1" applyFill="1" applyBorder="1" applyProtection="1">
      <protection hidden="1"/>
    </xf>
    <xf numFmtId="4" fontId="0" fillId="24" borderId="25" xfId="0" applyNumberFormat="1" applyFont="1" applyFill="1" applyBorder="1" applyProtection="1">
      <protection hidden="1"/>
    </xf>
    <xf numFmtId="10" fontId="0" fillId="21" borderId="25" xfId="0" applyNumberFormat="1" applyFont="1" applyFill="1" applyBorder="1" applyProtection="1">
      <protection locked="0"/>
    </xf>
    <xf numFmtId="164" fontId="0" fillId="24" borderId="25" xfId="0" applyNumberFormat="1" applyFont="1" applyFill="1" applyBorder="1" applyProtection="1">
      <protection hidden="1"/>
    </xf>
    <xf numFmtId="0" fontId="0" fillId="0" borderId="40" xfId="0" applyFont="1" applyFill="1" applyBorder="1" applyProtection="1">
      <protection hidden="1"/>
    </xf>
    <xf numFmtId="0" fontId="0" fillId="0" borderId="41" xfId="0" applyFont="1" applyFill="1" applyBorder="1" applyProtection="1">
      <protection hidden="1"/>
    </xf>
    <xf numFmtId="0" fontId="0" fillId="0" borderId="30" xfId="0" applyFont="1" applyFill="1" applyBorder="1" applyProtection="1">
      <protection hidden="1"/>
    </xf>
    <xf numFmtId="0" fontId="0" fillId="0" borderId="29" xfId="0" applyFont="1" applyFill="1" applyBorder="1" applyProtection="1">
      <protection hidden="1"/>
    </xf>
    <xf numFmtId="0" fontId="0" fillId="0" borderId="30" xfId="0" applyBorder="1"/>
    <xf numFmtId="0" fontId="0" fillId="0" borderId="0" xfId="0" applyBorder="1"/>
    <xf numFmtId="0" fontId="0" fillId="0" borderId="29" xfId="0" applyBorder="1"/>
    <xf numFmtId="0" fontId="0" fillId="0" borderId="42" xfId="0" applyFont="1" applyFill="1" applyBorder="1" applyProtection="1"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24" borderId="13" xfId="0" applyFont="1" applyFill="1" applyBorder="1" applyAlignment="1" applyProtection="1">
      <alignment horizontal="center"/>
      <protection hidden="1"/>
    </xf>
    <xf numFmtId="164" fontId="0" fillId="24" borderId="34" xfId="0" applyNumberFormat="1" applyFont="1" applyFill="1" applyBorder="1" applyProtection="1">
      <protection hidden="1"/>
    </xf>
    <xf numFmtId="4" fontId="0" fillId="24" borderId="34" xfId="0" applyNumberFormat="1" applyFont="1" applyFill="1" applyBorder="1" applyProtection="1">
      <protection hidden="1"/>
    </xf>
    <xf numFmtId="4" fontId="0" fillId="24" borderId="35" xfId="0" applyNumberFormat="1" applyFont="1" applyFill="1" applyBorder="1" applyProtection="1">
      <protection hidden="1"/>
    </xf>
    <xf numFmtId="0" fontId="0" fillId="24" borderId="15" xfId="0" applyFont="1" applyFill="1" applyBorder="1" applyAlignment="1" applyProtection="1">
      <alignment horizontal="center"/>
      <protection hidden="1"/>
    </xf>
    <xf numFmtId="164" fontId="0" fillId="24" borderId="25" xfId="0" applyNumberFormat="1" applyFont="1" applyFill="1" applyBorder="1" applyProtection="1">
      <protection hidden="1"/>
    </xf>
    <xf numFmtId="4" fontId="0" fillId="24" borderId="17" xfId="0" applyNumberFormat="1" applyFont="1" applyFill="1" applyBorder="1" applyProtection="1">
      <protection hidden="1"/>
    </xf>
    <xf numFmtId="0" fontId="0" fillId="24" borderId="18" xfId="0" applyFont="1" applyFill="1" applyBorder="1" applyAlignment="1" applyProtection="1">
      <alignment horizontal="center"/>
      <protection hidden="1"/>
    </xf>
    <xf numFmtId="164" fontId="0" fillId="24" borderId="37" xfId="0" applyNumberFormat="1" applyFont="1" applyFill="1" applyBorder="1" applyProtection="1">
      <protection hidden="1"/>
    </xf>
    <xf numFmtId="4" fontId="0" fillId="24" borderId="24" xfId="0" applyNumberFormat="1" applyFont="1" applyFill="1" applyBorder="1" applyProtection="1">
      <protection hidden="1"/>
    </xf>
    <xf numFmtId="4" fontId="0" fillId="24" borderId="43" xfId="0" applyNumberFormat="1" applyFont="1" applyFill="1" applyBorder="1" applyProtection="1">
      <protection hidden="1"/>
    </xf>
    <xf numFmtId="0" fontId="0" fillId="24" borderId="44" xfId="0" applyFont="1" applyFill="1" applyBorder="1" applyAlignment="1" applyProtection="1">
      <alignment horizontal="center"/>
      <protection hidden="1"/>
    </xf>
    <xf numFmtId="164" fontId="0" fillId="24" borderId="45" xfId="0" applyNumberFormat="1" applyFont="1" applyFill="1" applyBorder="1" applyProtection="1">
      <protection hidden="1"/>
    </xf>
    <xf numFmtId="0" fontId="0" fillId="24" borderId="11" xfId="0" applyFont="1" applyFill="1" applyBorder="1" applyProtection="1">
      <protection hidden="1"/>
    </xf>
    <xf numFmtId="4" fontId="0" fillId="24" borderId="33" xfId="0" applyNumberFormat="1" applyFont="1" applyFill="1" applyBorder="1" applyProtection="1">
      <protection hidden="1"/>
    </xf>
    <xf numFmtId="0" fontId="0" fillId="24" borderId="28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4" fontId="0" fillId="24" borderId="20" xfId="0" applyNumberFormat="1" applyFont="1" applyFill="1" applyBorder="1" applyProtection="1">
      <protection hidden="1"/>
    </xf>
    <xf numFmtId="4" fontId="0" fillId="24" borderId="46" xfId="0" applyNumberFormat="1" applyFont="1" applyFill="1" applyBorder="1" applyProtection="1">
      <protection hidden="1"/>
    </xf>
    <xf numFmtId="10" fontId="0" fillId="24" borderId="46" xfId="0" applyNumberFormat="1" applyFont="1" applyFill="1" applyBorder="1" applyProtection="1">
      <protection hidden="1"/>
    </xf>
    <xf numFmtId="10" fontId="0" fillId="24" borderId="22" xfId="0" applyNumberFormat="1" applyFont="1" applyFill="1" applyBorder="1" applyProtection="1">
      <protection hidden="1"/>
    </xf>
    <xf numFmtId="4" fontId="20" fillId="24" borderId="38" xfId="0" applyNumberFormat="1" applyFont="1" applyFill="1" applyBorder="1" applyProtection="1">
      <protection hidden="1"/>
    </xf>
    <xf numFmtId="1" fontId="0" fillId="24" borderId="20" xfId="0" applyNumberFormat="1" applyFont="1" applyFill="1" applyBorder="1" applyProtection="1">
      <protection hidden="1"/>
    </xf>
    <xf numFmtId="4" fontId="0" fillId="24" borderId="22" xfId="0" applyNumberFormat="1" applyFont="1" applyFill="1" applyBorder="1" applyProtection="1">
      <protection hidden="1"/>
    </xf>
    <xf numFmtId="0" fontId="2" fillId="25" borderId="11" xfId="0" applyFont="1" applyFill="1" applyBorder="1" applyAlignment="1" applyProtection="1">
      <alignment horizontal="center"/>
      <protection hidden="1"/>
    </xf>
    <xf numFmtId="0" fontId="2" fillId="25" borderId="33" xfId="0" applyFont="1" applyFill="1" applyBorder="1" applyAlignment="1" applyProtection="1">
      <alignment horizontal="center"/>
      <protection hidden="1"/>
    </xf>
    <xf numFmtId="164" fontId="2" fillId="25" borderId="33" xfId="0" applyNumberFormat="1" applyFont="1" applyFill="1" applyBorder="1" applyAlignment="1" applyProtection="1">
      <alignment horizontal="center"/>
      <protection hidden="1"/>
    </xf>
    <xf numFmtId="0" fontId="2" fillId="25" borderId="2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2" fillId="25" borderId="0" xfId="0" applyFont="1" applyFill="1" applyBorder="1" applyAlignment="1" applyProtection="1">
      <alignment horizontal="left"/>
      <protection hidden="1"/>
    </xf>
    <xf numFmtId="0" fontId="2" fillId="25" borderId="30" xfId="0" applyFont="1" applyFill="1" applyBorder="1" applyAlignment="1" applyProtection="1">
      <alignment horizontal="left"/>
      <protection hidden="1"/>
    </xf>
    <xf numFmtId="0" fontId="2" fillId="25" borderId="0" xfId="0" applyFont="1" applyFill="1" applyBorder="1" applyAlignment="1" applyProtection="1">
      <alignment horizontal="left"/>
      <protection hidden="1"/>
    </xf>
    <xf numFmtId="0" fontId="21" fillId="25" borderId="44" xfId="0" applyFont="1" applyFill="1" applyBorder="1" applyAlignment="1" applyProtection="1">
      <alignment horizontal="center" vertical="center"/>
      <protection hidden="1"/>
    </xf>
    <xf numFmtId="0" fontId="21" fillId="25" borderId="47" xfId="0" applyFont="1" applyFill="1" applyBorder="1" applyAlignment="1" applyProtection="1">
      <alignment horizontal="center" vertical="center"/>
      <protection hidden="1"/>
    </xf>
    <xf numFmtId="0" fontId="21" fillId="25" borderId="45" xfId="0" applyFont="1" applyFill="1" applyBorder="1" applyAlignment="1" applyProtection="1">
      <alignment horizontal="center" vertical="center"/>
      <protection hidden="1"/>
    </xf>
    <xf numFmtId="0" fontId="2" fillId="25" borderId="40" xfId="0" applyFont="1" applyFill="1" applyBorder="1" applyAlignment="1" applyProtection="1">
      <alignment horizontal="center"/>
      <protection hidden="1"/>
    </xf>
    <xf numFmtId="0" fontId="2" fillId="25" borderId="10" xfId="0" applyFont="1" applyFill="1" applyBorder="1" applyAlignment="1" applyProtection="1">
      <alignment horizontal="center"/>
      <protection hidden="1"/>
    </xf>
    <xf numFmtId="0" fontId="2" fillId="25" borderId="41" xfId="0" applyFont="1" applyFill="1" applyBorder="1" applyAlignment="1" applyProtection="1">
      <alignment horizontal="center"/>
      <protection hidden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6577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2" dropStyle="combo" dx="16" fmlaLink="$N$19" fmlaRange="$Q$14:$Q$25" val="0"/>
</file>

<file path=xl/ctrlProps/ctrlProp2.xml><?xml version="1.0" encoding="utf-8"?>
<formControlPr xmlns="http://schemas.microsoft.com/office/spreadsheetml/2009/9/main" objectType="Drop" dropLines="4" dropStyle="combo" dx="16" fmlaLink="$O$19" fmlaRange="$T$14:$T$17" sel="2" val="0"/>
</file>

<file path=xl/ctrlProps/ctrlProp3.xml><?xml version="1.0" encoding="utf-8"?>
<formControlPr xmlns="http://schemas.microsoft.com/office/spreadsheetml/2009/9/main" objectType="Radio" checked="Checked" firstButton="1" fmlaLink="$N$27" lockText="1"/>
</file>

<file path=xl/ctrlProps/ctrlProp4.xml><?xml version="1.0" encoding="utf-8"?>
<formControlPr xmlns="http://schemas.microsoft.com/office/spreadsheetml/2009/9/main" objectType="Drop" dropLines="2" dropStyle="combo" dx="16" fmlaLink="$N$24" fmlaRange="$U$14:$U$15" val="0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25</xdr:row>
      <xdr:rowOff>104775</xdr:rowOff>
    </xdr:from>
    <xdr:to>
      <xdr:col>7</xdr:col>
      <xdr:colOff>0</xdr:colOff>
      <xdr:row>27</xdr:row>
      <xdr:rowOff>57150</xdr:rowOff>
    </xdr:to>
    <xdr:sp macro="" textlink="">
      <xdr:nvSpPr>
        <xdr:cNvPr id="1057" name="Rectangle 28"/>
        <xdr:cNvSpPr>
          <a:spLocks noChangeArrowheads="1"/>
        </xdr:cNvSpPr>
      </xdr:nvSpPr>
      <xdr:spPr bwMode="auto">
        <a:xfrm>
          <a:off x="2400300" y="3038475"/>
          <a:ext cx="2647950" cy="295275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ysDot"/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0:U385"/>
  <sheetViews>
    <sheetView showGridLines="0" tabSelected="1" workbookViewId="0" topLeftCell="A9">
      <selection activeCell="G14" sqref="G14"/>
    </sheetView>
  </sheetViews>
  <sheetFormatPr defaultColWidth="11.421875" defaultRowHeight="12.75"/>
  <cols>
    <col min="1" max="1" width="11.421875" style="62" customWidth="1"/>
    <col min="2" max="2" width="1.57421875" style="62" customWidth="1"/>
    <col min="3" max="3" width="9.28125" style="62" customWidth="1"/>
    <col min="4" max="4" width="12.7109375" style="62" customWidth="1"/>
    <col min="5" max="5" width="14.7109375" style="62" customWidth="1"/>
    <col min="6" max="6" width="11.421875" style="62" customWidth="1"/>
    <col min="7" max="7" width="14.57421875" style="62" customWidth="1"/>
    <col min="8" max="9" width="15.421875" style="62" customWidth="1"/>
    <col min="10" max="10" width="1.28515625" style="62" customWidth="1"/>
    <col min="11" max="11" width="25.28125" style="62" bestFit="1" customWidth="1"/>
    <col min="12" max="12" width="11.421875" style="62" hidden="1" customWidth="1"/>
    <col min="13" max="13" width="10.57421875" style="62" hidden="1" customWidth="1"/>
    <col min="14" max="24" width="11.421875" style="62" hidden="1" customWidth="1"/>
    <col min="25" max="16384" width="11.421875" style="62" customWidth="1"/>
  </cols>
  <sheetData>
    <row r="1" s="2" customFormat="1" ht="12.75" hidden="1"/>
    <row r="2" s="2" customFormat="1" ht="12.75" hidden="1"/>
    <row r="3" s="2" customFormat="1" ht="12.75" hidden="1"/>
    <row r="4" s="2" customFormat="1" ht="12.75" hidden="1"/>
    <row r="5" s="2" customFormat="1" ht="12.75" hidden="1"/>
    <row r="6" s="2" customFormat="1" ht="12.75" hidden="1"/>
    <row r="7" s="2" customFormat="1" ht="12.75" hidden="1"/>
    <row r="8" s="2" customFormat="1" ht="12.75" hidden="1"/>
    <row r="9" s="3" customFormat="1" ht="13.5" thickBot="1"/>
    <row r="10" spans="2:10" s="4" customFormat="1" ht="18.75" thickBot="1">
      <c r="B10" s="119" t="s">
        <v>35</v>
      </c>
      <c r="C10" s="120"/>
      <c r="D10" s="120"/>
      <c r="E10" s="120"/>
      <c r="F10" s="120"/>
      <c r="G10" s="120"/>
      <c r="H10" s="120"/>
      <c r="I10" s="120"/>
      <c r="J10" s="121"/>
    </row>
    <row r="11" spans="2:10" s="4" customFormat="1" ht="12.75">
      <c r="B11" s="76"/>
      <c r="C11" s="5"/>
      <c r="D11" s="5"/>
      <c r="E11" s="5"/>
      <c r="F11" s="5"/>
      <c r="G11" s="5"/>
      <c r="H11" s="5"/>
      <c r="I11" s="5"/>
      <c r="J11" s="77"/>
    </row>
    <row r="12" spans="2:10" s="7" customFormat="1" ht="13.5" thickBot="1">
      <c r="B12" s="78"/>
      <c r="C12" s="117" t="s">
        <v>32</v>
      </c>
      <c r="D12" s="118"/>
      <c r="E12" s="118"/>
      <c r="F12" s="118"/>
      <c r="G12" s="118"/>
      <c r="H12" s="118"/>
      <c r="I12" s="118"/>
      <c r="J12" s="41"/>
    </row>
    <row r="13" spans="2:21" s="7" customFormat="1" ht="13.5" thickBot="1">
      <c r="B13" s="42"/>
      <c r="C13" s="8"/>
      <c r="D13" s="8"/>
      <c r="E13" s="8"/>
      <c r="F13" s="8"/>
      <c r="G13" s="8"/>
      <c r="H13" s="8"/>
      <c r="I13" s="8"/>
      <c r="J13" s="41"/>
      <c r="Q13" s="9" t="s">
        <v>4</v>
      </c>
      <c r="R13" s="10" t="s">
        <v>3</v>
      </c>
      <c r="S13" s="9" t="s">
        <v>0</v>
      </c>
      <c r="T13" s="11" t="s">
        <v>0</v>
      </c>
      <c r="U13" s="66" t="s">
        <v>7</v>
      </c>
    </row>
    <row r="14" spans="2:21" s="7" customFormat="1" ht="12.75">
      <c r="B14" s="42"/>
      <c r="C14" s="12" t="s">
        <v>38</v>
      </c>
      <c r="D14" s="8"/>
      <c r="E14" s="8"/>
      <c r="F14" s="8"/>
      <c r="G14" s="69">
        <v>100000</v>
      </c>
      <c r="H14" s="8"/>
      <c r="I14" s="8"/>
      <c r="J14" s="41"/>
      <c r="Q14" s="13">
        <v>1</v>
      </c>
      <c r="R14" s="14" t="s">
        <v>10</v>
      </c>
      <c r="S14" s="13">
        <v>1</v>
      </c>
      <c r="T14" s="15">
        <f ca="1">+YEAR(TODAY())-1</f>
        <v>2017</v>
      </c>
      <c r="U14" s="67" t="s">
        <v>8</v>
      </c>
    </row>
    <row r="15" spans="2:21" s="7" customFormat="1" ht="13.5" thickBot="1">
      <c r="B15" s="42"/>
      <c r="C15" s="8" t="s">
        <v>39</v>
      </c>
      <c r="D15" s="8"/>
      <c r="E15" s="8"/>
      <c r="F15" s="70">
        <v>0</v>
      </c>
      <c r="G15" s="71">
        <f>IF(ISERROR(-ROUND(F15*G14,2)),0,-ROUND(F15*G14,2))</f>
        <v>0</v>
      </c>
      <c r="H15" s="8"/>
      <c r="I15" s="8"/>
      <c r="J15" s="41"/>
      <c r="Q15" s="16">
        <v>2</v>
      </c>
      <c r="R15" s="17" t="s">
        <v>11</v>
      </c>
      <c r="S15" s="16">
        <v>2</v>
      </c>
      <c r="T15" s="18">
        <f ca="1">+T14+1</f>
        <v>2018</v>
      </c>
      <c r="U15" s="68" t="s">
        <v>9</v>
      </c>
    </row>
    <row r="16" spans="2:20" s="7" customFormat="1" ht="12.75">
      <c r="B16" s="42"/>
      <c r="C16" s="12" t="s">
        <v>40</v>
      </c>
      <c r="D16" s="8"/>
      <c r="E16" s="8"/>
      <c r="F16" s="8"/>
      <c r="G16" s="72">
        <f>IF(ISERROR(SUM(G15,G14)),"",SUM(G15,G14))</f>
        <v>100000</v>
      </c>
      <c r="H16" s="8"/>
      <c r="I16" s="8"/>
      <c r="J16" s="41"/>
      <c r="Q16" s="16">
        <v>3</v>
      </c>
      <c r="R16" s="17" t="s">
        <v>12</v>
      </c>
      <c r="S16" s="16">
        <v>3</v>
      </c>
      <c r="T16" s="19">
        <f ca="1">+T15+1</f>
        <v>2019</v>
      </c>
    </row>
    <row r="17" spans="2:20" s="7" customFormat="1" ht="13.5" thickBot="1">
      <c r="B17" s="42"/>
      <c r="C17" s="8"/>
      <c r="D17" s="8"/>
      <c r="E17" s="8"/>
      <c r="F17" s="8"/>
      <c r="G17" s="8"/>
      <c r="H17" s="8"/>
      <c r="I17" s="8"/>
      <c r="J17" s="41"/>
      <c r="Q17" s="16">
        <v>4</v>
      </c>
      <c r="R17" s="17" t="s">
        <v>13</v>
      </c>
      <c r="S17" s="20">
        <v>4</v>
      </c>
      <c r="T17" s="21">
        <f ca="1">+T16+1</f>
        <v>2020</v>
      </c>
    </row>
    <row r="18" spans="2:19" s="4" customFormat="1" ht="12" customHeight="1">
      <c r="B18" s="42"/>
      <c r="C18" s="8"/>
      <c r="D18" s="6"/>
      <c r="F18" s="113" t="s">
        <v>3</v>
      </c>
      <c r="G18" s="1" t="s">
        <v>0</v>
      </c>
      <c r="H18" s="6"/>
      <c r="I18" s="6"/>
      <c r="J18" s="79"/>
      <c r="N18" s="22" t="s">
        <v>3</v>
      </c>
      <c r="O18" s="23" t="s">
        <v>0</v>
      </c>
      <c r="Q18" s="24">
        <v>5</v>
      </c>
      <c r="R18" s="25" t="s">
        <v>1</v>
      </c>
      <c r="S18" s="26"/>
    </row>
    <row r="19" spans="2:19" s="4" customFormat="1" ht="13.5" thickBot="1">
      <c r="B19" s="78"/>
      <c r="C19" s="6" t="s">
        <v>41</v>
      </c>
      <c r="D19" s="6"/>
      <c r="E19" s="6"/>
      <c r="F19" s="6"/>
      <c r="G19" s="6"/>
      <c r="H19" s="6"/>
      <c r="I19" s="6"/>
      <c r="J19" s="79"/>
      <c r="N19" s="27">
        <v>1</v>
      </c>
      <c r="O19" s="28">
        <v>2</v>
      </c>
      <c r="Q19" s="24">
        <v>6</v>
      </c>
      <c r="R19" s="25" t="s">
        <v>14</v>
      </c>
      <c r="S19" s="26"/>
    </row>
    <row r="20" spans="2:19" s="4" customFormat="1" ht="12.75">
      <c r="B20" s="78"/>
      <c r="C20" s="6"/>
      <c r="D20" s="6"/>
      <c r="E20" s="6"/>
      <c r="F20" s="6"/>
      <c r="G20" s="6"/>
      <c r="H20" s="6"/>
      <c r="I20" s="6"/>
      <c r="J20" s="79"/>
      <c r="Q20" s="24">
        <v>7</v>
      </c>
      <c r="R20" s="25" t="s">
        <v>15</v>
      </c>
      <c r="S20" s="26"/>
    </row>
    <row r="21" spans="2:19" s="4" customFormat="1" ht="12.75">
      <c r="B21" s="78"/>
      <c r="C21" s="6" t="s">
        <v>42</v>
      </c>
      <c r="D21" s="6"/>
      <c r="E21" s="74">
        <v>0.05</v>
      </c>
      <c r="F21" s="6"/>
      <c r="G21" s="73">
        <f>IF(ISERROR(ROUND(E21*G14,2)),"",ROUND(E21*G14,2))</f>
        <v>5000</v>
      </c>
      <c r="H21" s="6" t="str">
        <f>+IF(I382="","","Zins-/Tilgungskombination im")</f>
        <v/>
      </c>
      <c r="I21" s="6"/>
      <c r="J21" s="79"/>
      <c r="Q21" s="24">
        <v>8</v>
      </c>
      <c r="R21" s="25" t="s">
        <v>16</v>
      </c>
      <c r="S21" s="26"/>
    </row>
    <row r="22" spans="2:19" s="4" customFormat="1" ht="12.75">
      <c r="B22" s="78"/>
      <c r="C22" s="6" t="s">
        <v>43</v>
      </c>
      <c r="D22" s="6"/>
      <c r="E22" s="74">
        <v>0.02</v>
      </c>
      <c r="F22" s="6"/>
      <c r="G22" s="73">
        <f>IF(ISERROR(ROUND(E22*G14,2)),"",ROUND(E22*G14,2))</f>
        <v>2000</v>
      </c>
      <c r="H22" s="6" t="str">
        <f>+IF(H21="","","Tilgungsplan nicht darstellbar")</f>
        <v/>
      </c>
      <c r="I22" s="6"/>
      <c r="J22" s="79"/>
      <c r="Q22" s="24">
        <v>9</v>
      </c>
      <c r="R22" s="25" t="s">
        <v>17</v>
      </c>
      <c r="S22" s="26"/>
    </row>
    <row r="23" spans="2:19" s="4" customFormat="1" ht="12.75">
      <c r="B23" s="78"/>
      <c r="C23" s="6"/>
      <c r="D23" s="6"/>
      <c r="E23" s="6"/>
      <c r="F23" s="6"/>
      <c r="G23" s="6"/>
      <c r="H23" s="6"/>
      <c r="I23" s="6"/>
      <c r="J23" s="79"/>
      <c r="N23" s="29">
        <v>2</v>
      </c>
      <c r="Q23" s="24">
        <v>10</v>
      </c>
      <c r="R23" s="25" t="s">
        <v>18</v>
      </c>
      <c r="S23" s="26"/>
    </row>
    <row r="24" spans="2:19" s="4" customFormat="1" ht="12.75">
      <c r="B24" s="78"/>
      <c r="C24" s="6" t="s">
        <v>6</v>
      </c>
      <c r="D24" s="6"/>
      <c r="E24" s="6"/>
      <c r="F24" s="6"/>
      <c r="G24" s="75">
        <f ca="1">+DATE(VLOOKUP(O19,$S$13:$T$17,2,FALSE),N19,O24)</f>
        <v>43101</v>
      </c>
      <c r="H24" s="6"/>
      <c r="I24" s="6"/>
      <c r="J24" s="79"/>
      <c r="N24" s="30">
        <v>1</v>
      </c>
      <c r="O24" s="31">
        <f>+IF(N24=1,1,15)</f>
        <v>1</v>
      </c>
      <c r="Q24" s="24">
        <v>11</v>
      </c>
      <c r="R24" s="25" t="s">
        <v>19</v>
      </c>
      <c r="S24" s="26"/>
    </row>
    <row r="25" spans="2:19" s="4" customFormat="1" ht="17.25" customHeight="1" thickBot="1">
      <c r="B25" s="78"/>
      <c r="C25" s="6" t="str">
        <f ca="1">"des Monats, beginnend am "&amp;O24&amp;". "&amp;VLOOKUP(N19,$Q$14:$R$25,2,FALSE)&amp;" "&amp;VLOOKUP(O19,S14:T17,2,FALSE)</f>
        <v>des Monats, beginnend am 1. Jan. 2018</v>
      </c>
      <c r="D25" s="6"/>
      <c r="E25" s="6"/>
      <c r="F25" s="6"/>
      <c r="G25" s="6"/>
      <c r="H25" s="6"/>
      <c r="I25" s="6"/>
      <c r="J25" s="79"/>
      <c r="Q25" s="32">
        <v>12</v>
      </c>
      <c r="R25" s="33" t="s">
        <v>20</v>
      </c>
      <c r="S25" s="26"/>
    </row>
    <row r="26" spans="2:16" s="4" customFormat="1" ht="13.5" thickBot="1">
      <c r="B26" s="78"/>
      <c r="C26" s="6"/>
      <c r="D26" s="6"/>
      <c r="E26" s="6"/>
      <c r="F26" s="6"/>
      <c r="G26" s="6"/>
      <c r="H26" s="6"/>
      <c r="I26" s="6"/>
      <c r="J26" s="79"/>
      <c r="N26" s="34"/>
      <c r="O26" s="35" t="s">
        <v>21</v>
      </c>
      <c r="P26" s="35" t="s">
        <v>31</v>
      </c>
    </row>
    <row r="27" spans="2:18" s="4" customFormat="1" ht="13.5" thickBot="1">
      <c r="B27" s="78"/>
      <c r="C27" s="6" t="s">
        <v>44</v>
      </c>
      <c r="D27" s="6"/>
      <c r="E27" s="6"/>
      <c r="F27" s="6"/>
      <c r="G27" s="6"/>
      <c r="H27" s="6"/>
      <c r="I27" s="6"/>
      <c r="J27" s="79"/>
      <c r="N27" s="36">
        <v>1</v>
      </c>
      <c r="O27" s="37">
        <f>+IF(N27=1,12,IF(N27=2,4,1))</f>
        <v>12</v>
      </c>
      <c r="P27" s="37">
        <f>+IF(N27=1,12,IF(N27=2,3,1))</f>
        <v>12</v>
      </c>
      <c r="Q27" s="38" t="str">
        <f>+IF(O27=1,"Jahr",IF(O27=4,"Vierteljahr","Monat"))</f>
        <v>Monat</v>
      </c>
      <c r="R27" s="39" t="str">
        <f>+IF(O27=1,"Jährlich",IF(O27=4,"Vierteljährlich","Monatlich"))</f>
        <v>Monatlich</v>
      </c>
    </row>
    <row r="28" spans="2:10" s="4" customFormat="1" ht="12.75">
      <c r="B28" s="78"/>
      <c r="C28" s="6"/>
      <c r="D28" s="40"/>
      <c r="E28" s="6"/>
      <c r="F28" s="6"/>
      <c r="G28" s="6"/>
      <c r="H28" s="6"/>
      <c r="I28" s="6"/>
      <c r="J28" s="79"/>
    </row>
    <row r="29" spans="2:10" s="4" customFormat="1" ht="12.75" hidden="1">
      <c r="B29" s="78"/>
      <c r="C29" s="6"/>
      <c r="D29" s="6"/>
      <c r="E29" s="6"/>
      <c r="F29" s="6"/>
      <c r="G29" s="6"/>
      <c r="H29" s="6"/>
      <c r="I29" s="6"/>
      <c r="J29" s="79"/>
    </row>
    <row r="30" spans="2:10" s="4" customFormat="1" ht="12.75">
      <c r="B30" s="78"/>
      <c r="C30" s="116" t="s">
        <v>33</v>
      </c>
      <c r="D30" s="116"/>
      <c r="E30" s="116"/>
      <c r="F30" s="116"/>
      <c r="G30" s="116"/>
      <c r="H30" s="116"/>
      <c r="I30" s="116"/>
      <c r="J30" s="79"/>
    </row>
    <row r="31" spans="2:10" s="4" customFormat="1" ht="13.5" thickBot="1">
      <c r="B31" s="78"/>
      <c r="C31" s="6"/>
      <c r="D31" s="6"/>
      <c r="E31" s="6"/>
      <c r="F31" s="6"/>
      <c r="G31" s="6"/>
      <c r="H31" s="6"/>
      <c r="I31" s="6"/>
      <c r="J31" s="79"/>
    </row>
    <row r="32" spans="2:10" s="4" customFormat="1" ht="12.75">
      <c r="B32" s="78"/>
      <c r="C32" s="65" t="s">
        <v>27</v>
      </c>
      <c r="D32" s="6"/>
      <c r="E32" s="6"/>
      <c r="F32" s="102">
        <f>+Annuitätenrechner!G14</f>
        <v>100000</v>
      </c>
      <c r="G32" s="6"/>
      <c r="H32" s="6"/>
      <c r="I32" s="101" t="str">
        <f ca="1">"   Zahlungsbeginn: "&amp;DAY(D42)&amp;"."&amp;MONTH(D42)&amp;"."&amp;YEAR(D42)</f>
        <v xml:space="preserve">   Zahlungsbeginn: 1.1.2018</v>
      </c>
      <c r="J32" s="79"/>
    </row>
    <row r="33" spans="2:10" s="4" customFormat="1" ht="12.75">
      <c r="B33" s="78"/>
      <c r="C33" s="65" t="s">
        <v>28</v>
      </c>
      <c r="D33" s="6"/>
      <c r="E33" s="6"/>
      <c r="F33" s="103">
        <f>+Annuitätenrechner!G16</f>
        <v>100000</v>
      </c>
      <c r="G33" s="6"/>
      <c r="H33" s="6"/>
      <c r="I33" s="101" t="str">
        <f>"   Zahlungsweise: "&amp;Annuitätenrechner!R27</f>
        <v xml:space="preserve">   Zahlungsweise: Monatlich</v>
      </c>
      <c r="J33" s="79"/>
    </row>
    <row r="34" spans="2:10" s="4" customFormat="1" ht="13.5" thickBot="1">
      <c r="B34" s="78"/>
      <c r="C34" s="65" t="s">
        <v>29</v>
      </c>
      <c r="D34" s="6"/>
      <c r="E34" s="6"/>
      <c r="F34" s="104">
        <f>+Annuitätenrechner!E21</f>
        <v>0.05</v>
      </c>
      <c r="G34" s="6"/>
      <c r="H34" s="6"/>
      <c r="I34" s="6"/>
      <c r="J34" s="79"/>
    </row>
    <row r="35" spans="2:10" s="4" customFormat="1" ht="13.5" thickBot="1">
      <c r="B35" s="78"/>
      <c r="C35" s="114" t="s">
        <v>45</v>
      </c>
      <c r="D35" s="6"/>
      <c r="E35" s="6"/>
      <c r="F35" s="105">
        <f>+Annuitätenrechner!E22</f>
        <v>0.02</v>
      </c>
      <c r="G35" s="6"/>
      <c r="H35" s="115" t="s">
        <v>46</v>
      </c>
      <c r="I35" s="107">
        <f>+MAX(C42:C382)</f>
        <v>302</v>
      </c>
      <c r="J35" s="79"/>
    </row>
    <row r="36" spans="2:10" s="4" customFormat="1" ht="13.5" thickBot="1">
      <c r="B36" s="78"/>
      <c r="C36" s="6"/>
      <c r="D36" s="6"/>
      <c r="E36" s="6"/>
      <c r="F36" s="6"/>
      <c r="G36" s="6"/>
      <c r="H36" s="101" t="s">
        <v>36</v>
      </c>
      <c r="I36" s="103">
        <f>+F383</f>
        <v>175753.36999999936</v>
      </c>
      <c r="J36" s="79"/>
    </row>
    <row r="37" spans="2:10" s="4" customFormat="1" ht="13.5" thickBot="1">
      <c r="B37" s="78"/>
      <c r="C37" s="12" t="str">
        <f>"Annuität pro "&amp;Q27&amp;":"</f>
        <v>Annuität pro Monat:</v>
      </c>
      <c r="D37" s="6"/>
      <c r="E37" s="6"/>
      <c r="F37" s="106">
        <f>ROUND(SUM(G22,G21)/O27,2)</f>
        <v>583.33</v>
      </c>
      <c r="G37" s="6"/>
      <c r="H37" s="101" t="s">
        <v>37</v>
      </c>
      <c r="I37" s="108">
        <f>+G383</f>
        <v>75753.37000000005</v>
      </c>
      <c r="J37" s="79"/>
    </row>
    <row r="38" spans="2:10" s="7" customFormat="1" ht="13.5" thickBot="1">
      <c r="B38" s="83"/>
      <c r="C38" s="44"/>
      <c r="D38" s="44"/>
      <c r="E38" s="44"/>
      <c r="F38" s="44"/>
      <c r="G38" s="44"/>
      <c r="H38" s="44"/>
      <c r="I38" s="44"/>
      <c r="J38" s="45"/>
    </row>
    <row r="39" spans="2:10" s="7" customFormat="1" ht="13.5" thickBot="1">
      <c r="B39" s="122" t="s">
        <v>34</v>
      </c>
      <c r="C39" s="123"/>
      <c r="D39" s="123"/>
      <c r="E39" s="123"/>
      <c r="F39" s="123"/>
      <c r="G39" s="123"/>
      <c r="H39" s="123"/>
      <c r="I39" s="123"/>
      <c r="J39" s="124"/>
    </row>
    <row r="40" spans="2:21" s="7" customFormat="1" ht="13.5" thickBot="1">
      <c r="B40" s="80"/>
      <c r="C40" s="81"/>
      <c r="D40" s="81"/>
      <c r="E40" s="81"/>
      <c r="F40" s="81"/>
      <c r="G40" s="81"/>
      <c r="H40" s="81"/>
      <c r="I40" s="81"/>
      <c r="J40" s="82"/>
      <c r="N40" s="46" t="s">
        <v>26</v>
      </c>
      <c r="O40" s="47">
        <f>+Annuitätenrechner!O27</f>
        <v>12</v>
      </c>
      <c r="R40" s="46">
        <v>12</v>
      </c>
      <c r="S40" s="48">
        <v>4</v>
      </c>
      <c r="T40" s="47">
        <v>1</v>
      </c>
      <c r="U40" s="49"/>
    </row>
    <row r="41" spans="2:16" s="7" customFormat="1" ht="13.5" thickBot="1">
      <c r="B41" s="42"/>
      <c r="C41" s="109" t="s">
        <v>7</v>
      </c>
      <c r="D41" s="111" t="s">
        <v>22</v>
      </c>
      <c r="E41" s="110" t="s">
        <v>23</v>
      </c>
      <c r="F41" s="110" t="s">
        <v>5</v>
      </c>
      <c r="G41" s="110" t="s">
        <v>2</v>
      </c>
      <c r="H41" s="110" t="s">
        <v>24</v>
      </c>
      <c r="I41" s="112" t="s">
        <v>23</v>
      </c>
      <c r="J41" s="41"/>
      <c r="N41" s="46" t="s">
        <v>25</v>
      </c>
      <c r="O41" s="48" t="s">
        <v>3</v>
      </c>
      <c r="P41" s="47" t="s">
        <v>0</v>
      </c>
    </row>
    <row r="42" spans="2:20" s="7" customFormat="1" ht="12.75">
      <c r="B42" s="42"/>
      <c r="C42" s="85">
        <v>1</v>
      </c>
      <c r="D42" s="86">
        <f ca="1">+Annuitätenrechner!G24</f>
        <v>43101</v>
      </c>
      <c r="E42" s="87">
        <f>+Annuitätenrechner!G14</f>
        <v>100000</v>
      </c>
      <c r="F42" s="87">
        <f>+Annuitätenrechner!$F$37</f>
        <v>583.33</v>
      </c>
      <c r="G42" s="87">
        <f>+ROUND(E42*Annuitätenrechner!$E$21/Annuitätenrechner!$O$27,2)</f>
        <v>416.67</v>
      </c>
      <c r="H42" s="87">
        <f>+Annuitätenrechner!$F$37-G42</f>
        <v>166.66000000000003</v>
      </c>
      <c r="I42" s="88">
        <f>+E42-H42</f>
        <v>99833.34</v>
      </c>
      <c r="J42" s="41"/>
      <c r="N42" s="50">
        <f ca="1">+DAY(D42)</f>
        <v>1</v>
      </c>
      <c r="O42" s="51">
        <v>10</v>
      </c>
      <c r="P42" s="52">
        <f ca="1">+YEAR(D42)</f>
        <v>2018</v>
      </c>
      <c r="R42" s="53">
        <f>+O42</f>
        <v>10</v>
      </c>
      <c r="S42" s="54">
        <f>+O42</f>
        <v>10</v>
      </c>
      <c r="T42" s="55">
        <f>+O42</f>
        <v>10</v>
      </c>
    </row>
    <row r="43" spans="2:20" s="7" customFormat="1" ht="12.75">
      <c r="B43" s="42"/>
      <c r="C43" s="89">
        <f>+IF(E43="","",C42+1)</f>
        <v>2</v>
      </c>
      <c r="D43" s="90">
        <f aca="true" t="shared" si="0" ref="D43:D106">IF(OR(I42="",I42=0),"",DATE(P43,O43,N43))</f>
        <v>43405</v>
      </c>
      <c r="E43" s="71">
        <f>IF(OR(I42=0,I42=""),"",I42)</f>
        <v>99833.34</v>
      </c>
      <c r="F43" s="71">
        <f>IF(E43="","",IF(Annuitätenrechner!$F$37&gt;=E43,E43+ROUND(E43*Annuitätenrechner!$E$21/Annuitätenrechner!$O$27,2),Annuitätenrechner!$F$37))</f>
        <v>583.33</v>
      </c>
      <c r="G43" s="71">
        <f>IF(E43="","",+ROUND(E43*Annuitätenrechner!$E$21/Annuitätenrechner!$O$27,2))</f>
        <v>415.97</v>
      </c>
      <c r="H43" s="71">
        <f>IF(E43="","",IF(Annuitätenrechner!$F$37-G43&lt;=E43,Annuitätenrechner!$F$37-G43,E43))</f>
        <v>167.36</v>
      </c>
      <c r="I43" s="91">
        <f>IF(OR(I42="",I42=0),"",E43-H43)</f>
        <v>99665.98</v>
      </c>
      <c r="J43" s="41"/>
      <c r="N43" s="56">
        <f ca="1">+N42</f>
        <v>1</v>
      </c>
      <c r="O43" s="57">
        <f>+IF(R43&lt;&gt;"",R43,IF(S43&lt;&gt;"",S43,T43))</f>
        <v>11</v>
      </c>
      <c r="P43" s="58">
        <f ca="1">+IF(O43&lt;O42,P42+1,P42)</f>
        <v>2018</v>
      </c>
      <c r="R43" s="56">
        <f>+IF(AND(R$40=12,$O$40=12),IF($O42=12,1,$O42+1),"")</f>
        <v>11</v>
      </c>
      <c r="S43" s="57" t="str">
        <f>+IF(AND(S$40=4,$O$40=4),IF($O42&gt;=10,O42+3-12,$O42+3),"")</f>
        <v/>
      </c>
      <c r="T43" s="58" t="str">
        <f>+IF(AND(T$40=1,$O$40=1),O42,"")</f>
        <v/>
      </c>
    </row>
    <row r="44" spans="2:20" s="7" customFormat="1" ht="12.75">
      <c r="B44" s="42"/>
      <c r="C44" s="89">
        <f aca="true" t="shared" si="1" ref="C44:C107">+IF(E44="","",C43+1)</f>
        <v>3</v>
      </c>
      <c r="D44" s="90">
        <f ca="1" t="shared" si="0"/>
        <v>43435</v>
      </c>
      <c r="E44" s="71">
        <f aca="true" t="shared" si="2" ref="E44:E107">IF(OR(I43=0,I43=""),"",I43)</f>
        <v>99665.98</v>
      </c>
      <c r="F44" s="71">
        <f>IF(E44="","",IF(Annuitätenrechner!$F$37&gt;=E44,E44+ROUND(E44*Annuitätenrechner!$E$21/Annuitätenrechner!$O$27,2),Annuitätenrechner!$F$37))</f>
        <v>583.33</v>
      </c>
      <c r="G44" s="71">
        <f>IF(E44="","",+ROUND(E44*Annuitätenrechner!$E$21/Annuitätenrechner!$O$27,2))</f>
        <v>415.27</v>
      </c>
      <c r="H44" s="71">
        <f>IF(E44="","",IF(Annuitätenrechner!$F$37-G44&lt;=E44,Annuitätenrechner!$F$37-G44,E44))</f>
        <v>168.06000000000006</v>
      </c>
      <c r="I44" s="91">
        <f aca="true" t="shared" si="3" ref="I44:I107">IF(OR(I43="",I43=0),"",E44-H44)</f>
        <v>99497.92</v>
      </c>
      <c r="J44" s="41"/>
      <c r="N44" s="56">
        <f aca="true" t="shared" si="4" ref="N44:N107">+N43</f>
        <v>1</v>
      </c>
      <c r="O44" s="57">
        <f aca="true" t="shared" si="5" ref="O44:O107">+IF(R44&lt;&gt;"",R44,IF(S44&lt;&gt;"",S44,T44))</f>
        <v>12</v>
      </c>
      <c r="P44" s="58">
        <f aca="true" t="shared" si="6" ref="P44:P107">+IF(O44&lt;O43,P43+1,P43)</f>
        <v>2018</v>
      </c>
      <c r="R44" s="56">
        <f aca="true" t="shared" si="7" ref="R44:R107">+IF(AND(R$40=12,$O$40=12),IF($O43=12,1,$O43+1),"")</f>
        <v>12</v>
      </c>
      <c r="S44" s="57" t="str">
        <f aca="true" t="shared" si="8" ref="S44:S107">+IF(AND(S$40=4,$O$40=4),IF($O43&gt;=10,O43+3-12,$O43+3),"")</f>
        <v/>
      </c>
      <c r="T44" s="58" t="str">
        <f aca="true" t="shared" si="9" ref="T44:T107">+IF(AND(T$40=1,$O$40=1),O43,"")</f>
        <v/>
      </c>
    </row>
    <row r="45" spans="2:20" s="7" customFormat="1" ht="12.75">
      <c r="B45" s="42"/>
      <c r="C45" s="89">
        <f t="shared" si="1"/>
        <v>4</v>
      </c>
      <c r="D45" s="90">
        <f ca="1" t="shared" si="0"/>
        <v>43466</v>
      </c>
      <c r="E45" s="71">
        <f t="shared" si="2"/>
        <v>99497.92</v>
      </c>
      <c r="F45" s="71">
        <f>IF(E45="","",IF(Annuitätenrechner!$F$37&gt;=E45,E45+ROUND(E45*Annuitätenrechner!$E$21/Annuitätenrechner!$O$27,2),Annuitätenrechner!$F$37))</f>
        <v>583.33</v>
      </c>
      <c r="G45" s="71">
        <f>IF(E45="","",+ROUND(E45*Annuitätenrechner!$E$21/Annuitätenrechner!$O$27,2))</f>
        <v>414.57</v>
      </c>
      <c r="H45" s="71">
        <f>IF(E45="","",IF(Annuitätenrechner!$F$37-G45&lt;=E45,Annuitätenrechner!$F$37-G45,E45))</f>
        <v>168.76000000000005</v>
      </c>
      <c r="I45" s="91">
        <f t="shared" si="3"/>
        <v>99329.16</v>
      </c>
      <c r="J45" s="41"/>
      <c r="N45" s="56">
        <f ca="1" t="shared" si="4"/>
        <v>1</v>
      </c>
      <c r="O45" s="57">
        <f t="shared" si="5"/>
        <v>1</v>
      </c>
      <c r="P45" s="58">
        <f ca="1" t="shared" si="6"/>
        <v>2019</v>
      </c>
      <c r="R45" s="56">
        <f t="shared" si="7"/>
        <v>1</v>
      </c>
      <c r="S45" s="57" t="str">
        <f t="shared" si="8"/>
        <v/>
      </c>
      <c r="T45" s="58" t="str">
        <f t="shared" si="9"/>
        <v/>
      </c>
    </row>
    <row r="46" spans="2:20" s="7" customFormat="1" ht="12.75">
      <c r="B46" s="42"/>
      <c r="C46" s="89">
        <f t="shared" si="1"/>
        <v>5</v>
      </c>
      <c r="D46" s="90">
        <f ca="1" t="shared" si="0"/>
        <v>43497</v>
      </c>
      <c r="E46" s="71">
        <f t="shared" si="2"/>
        <v>99329.16</v>
      </c>
      <c r="F46" s="71">
        <f>IF(E46="","",IF(Annuitätenrechner!$F$37&gt;=E46,E46+ROUND(E46*Annuitätenrechner!$E$21/Annuitätenrechner!$O$27,2),Annuitätenrechner!$F$37))</f>
        <v>583.33</v>
      </c>
      <c r="G46" s="71">
        <f>IF(E46="","",+ROUND(E46*Annuitätenrechner!$E$21/Annuitätenrechner!$O$27,2))</f>
        <v>413.87</v>
      </c>
      <c r="H46" s="71">
        <f>IF(E46="","",IF(Annuitätenrechner!$F$37-G46&lt;=E46,Annuitätenrechner!$F$37-G46,E46))</f>
        <v>169.46000000000004</v>
      </c>
      <c r="I46" s="91">
        <f t="shared" si="3"/>
        <v>99159.7</v>
      </c>
      <c r="J46" s="41"/>
      <c r="N46" s="56">
        <f ca="1" t="shared" si="4"/>
        <v>1</v>
      </c>
      <c r="O46" s="57">
        <f t="shared" si="5"/>
        <v>2</v>
      </c>
      <c r="P46" s="58">
        <f ca="1" t="shared" si="6"/>
        <v>2019</v>
      </c>
      <c r="R46" s="56">
        <f t="shared" si="7"/>
        <v>2</v>
      </c>
      <c r="S46" s="57" t="str">
        <f t="shared" si="8"/>
        <v/>
      </c>
      <c r="T46" s="58" t="str">
        <f t="shared" si="9"/>
        <v/>
      </c>
    </row>
    <row r="47" spans="2:20" s="7" customFormat="1" ht="12.75">
      <c r="B47" s="42"/>
      <c r="C47" s="89">
        <f t="shared" si="1"/>
        <v>6</v>
      </c>
      <c r="D47" s="90">
        <f ca="1" t="shared" si="0"/>
        <v>43525</v>
      </c>
      <c r="E47" s="71">
        <f t="shared" si="2"/>
        <v>99159.7</v>
      </c>
      <c r="F47" s="71">
        <f>IF(E47="","",IF(Annuitätenrechner!$F$37&gt;=E47,E47+ROUND(E47*Annuitätenrechner!$E$21/Annuitätenrechner!$O$27,2),Annuitätenrechner!$F$37))</f>
        <v>583.33</v>
      </c>
      <c r="G47" s="71">
        <f>IF(E47="","",+ROUND(E47*Annuitätenrechner!$E$21/Annuitätenrechner!$O$27,2))</f>
        <v>413.17</v>
      </c>
      <c r="H47" s="71">
        <f>IF(E47="","",IF(Annuitätenrechner!$F$37-G47&lt;=E47,Annuitätenrechner!$F$37-G47,E47))</f>
        <v>170.16000000000003</v>
      </c>
      <c r="I47" s="91">
        <f t="shared" si="3"/>
        <v>98989.54</v>
      </c>
      <c r="J47" s="41"/>
      <c r="N47" s="56">
        <f ca="1" t="shared" si="4"/>
        <v>1</v>
      </c>
      <c r="O47" s="57">
        <f t="shared" si="5"/>
        <v>3</v>
      </c>
      <c r="P47" s="58">
        <f ca="1" t="shared" si="6"/>
        <v>2019</v>
      </c>
      <c r="R47" s="56">
        <f t="shared" si="7"/>
        <v>3</v>
      </c>
      <c r="S47" s="57" t="str">
        <f t="shared" si="8"/>
        <v/>
      </c>
      <c r="T47" s="58" t="str">
        <f t="shared" si="9"/>
        <v/>
      </c>
    </row>
    <row r="48" spans="2:20" s="7" customFormat="1" ht="12.75">
      <c r="B48" s="42"/>
      <c r="C48" s="89">
        <f t="shared" si="1"/>
        <v>7</v>
      </c>
      <c r="D48" s="90">
        <f ca="1" t="shared" si="0"/>
        <v>43556</v>
      </c>
      <c r="E48" s="71">
        <f t="shared" si="2"/>
        <v>98989.54</v>
      </c>
      <c r="F48" s="71">
        <f>IF(E48="","",IF(Annuitätenrechner!$F$37&gt;=E48,E48+ROUND(E48*Annuitätenrechner!$E$21/Annuitätenrechner!$O$27,2),Annuitätenrechner!$F$37))</f>
        <v>583.33</v>
      </c>
      <c r="G48" s="71">
        <f>IF(E48="","",+ROUND(E48*Annuitätenrechner!$E$21/Annuitätenrechner!$O$27,2))</f>
        <v>412.46</v>
      </c>
      <c r="H48" s="71">
        <f>IF(E48="","",IF(Annuitätenrechner!$F$37-G48&lt;=E48,Annuitätenrechner!$F$37-G48,E48))</f>
        <v>170.87000000000006</v>
      </c>
      <c r="I48" s="91">
        <f t="shared" si="3"/>
        <v>98818.67</v>
      </c>
      <c r="J48" s="41"/>
      <c r="N48" s="56">
        <f ca="1" t="shared" si="4"/>
        <v>1</v>
      </c>
      <c r="O48" s="57">
        <f t="shared" si="5"/>
        <v>4</v>
      </c>
      <c r="P48" s="58">
        <f ca="1" t="shared" si="6"/>
        <v>2019</v>
      </c>
      <c r="R48" s="56">
        <f t="shared" si="7"/>
        <v>4</v>
      </c>
      <c r="S48" s="57" t="str">
        <f t="shared" si="8"/>
        <v/>
      </c>
      <c r="T48" s="58" t="str">
        <f t="shared" si="9"/>
        <v/>
      </c>
    </row>
    <row r="49" spans="2:20" s="7" customFormat="1" ht="12.75">
      <c r="B49" s="42"/>
      <c r="C49" s="89">
        <f t="shared" si="1"/>
        <v>8</v>
      </c>
      <c r="D49" s="90">
        <f ca="1" t="shared" si="0"/>
        <v>43586</v>
      </c>
      <c r="E49" s="71">
        <f t="shared" si="2"/>
        <v>98818.67</v>
      </c>
      <c r="F49" s="71">
        <f>IF(E49="","",IF(Annuitätenrechner!$F$37&gt;=E49,E49+ROUND(E49*Annuitätenrechner!$E$21/Annuitätenrechner!$O$27,2),Annuitätenrechner!$F$37))</f>
        <v>583.33</v>
      </c>
      <c r="G49" s="71">
        <f>IF(E49="","",+ROUND(E49*Annuitätenrechner!$E$21/Annuitätenrechner!$O$27,2))</f>
        <v>411.74</v>
      </c>
      <c r="H49" s="71">
        <f>IF(E49="","",IF(Annuitätenrechner!$F$37-G49&lt;=E49,Annuitätenrechner!$F$37-G49,E49))</f>
        <v>171.59000000000003</v>
      </c>
      <c r="I49" s="91">
        <f t="shared" si="3"/>
        <v>98647.08</v>
      </c>
      <c r="J49" s="41"/>
      <c r="N49" s="56">
        <f ca="1" t="shared" si="4"/>
        <v>1</v>
      </c>
      <c r="O49" s="57">
        <f t="shared" si="5"/>
        <v>5</v>
      </c>
      <c r="P49" s="58">
        <f ca="1" t="shared" si="6"/>
        <v>2019</v>
      </c>
      <c r="R49" s="56">
        <f t="shared" si="7"/>
        <v>5</v>
      </c>
      <c r="S49" s="57" t="str">
        <f t="shared" si="8"/>
        <v/>
      </c>
      <c r="T49" s="58" t="str">
        <f t="shared" si="9"/>
        <v/>
      </c>
    </row>
    <row r="50" spans="2:20" s="7" customFormat="1" ht="12.75">
      <c r="B50" s="42"/>
      <c r="C50" s="89">
        <f t="shared" si="1"/>
        <v>9</v>
      </c>
      <c r="D50" s="90">
        <f ca="1" t="shared" si="0"/>
        <v>43617</v>
      </c>
      <c r="E50" s="71">
        <f t="shared" si="2"/>
        <v>98647.08</v>
      </c>
      <c r="F50" s="71">
        <f>IF(E50="","",IF(Annuitätenrechner!$F$37&gt;=E50,E50+ROUND(E50*Annuitätenrechner!$E$21/Annuitätenrechner!$O$27,2),Annuitätenrechner!$F$37))</f>
        <v>583.33</v>
      </c>
      <c r="G50" s="71">
        <f>IF(E50="","",+ROUND(E50*Annuitätenrechner!$E$21/Annuitätenrechner!$O$27,2))</f>
        <v>411.03</v>
      </c>
      <c r="H50" s="71">
        <f>IF(E50="","",IF(Annuitätenrechner!$F$37-G50&lt;=E50,Annuitätenrechner!$F$37-G50,E50))</f>
        <v>172.30000000000007</v>
      </c>
      <c r="I50" s="91">
        <f t="shared" si="3"/>
        <v>98474.78</v>
      </c>
      <c r="J50" s="41"/>
      <c r="N50" s="56">
        <f ca="1" t="shared" si="4"/>
        <v>1</v>
      </c>
      <c r="O50" s="57">
        <f t="shared" si="5"/>
        <v>6</v>
      </c>
      <c r="P50" s="58">
        <f ca="1" t="shared" si="6"/>
        <v>2019</v>
      </c>
      <c r="R50" s="56">
        <f t="shared" si="7"/>
        <v>6</v>
      </c>
      <c r="S50" s="57" t="str">
        <f t="shared" si="8"/>
        <v/>
      </c>
      <c r="T50" s="58" t="str">
        <f t="shared" si="9"/>
        <v/>
      </c>
    </row>
    <row r="51" spans="2:20" s="7" customFormat="1" ht="12.75">
      <c r="B51" s="42"/>
      <c r="C51" s="89">
        <f t="shared" si="1"/>
        <v>10</v>
      </c>
      <c r="D51" s="90">
        <f ca="1" t="shared" si="0"/>
        <v>43647</v>
      </c>
      <c r="E51" s="71">
        <f t="shared" si="2"/>
        <v>98474.78</v>
      </c>
      <c r="F51" s="71">
        <f>IF(E51="","",IF(Annuitätenrechner!$F$37&gt;=E51,E51+ROUND(E51*Annuitätenrechner!$E$21/Annuitätenrechner!$O$27,2),Annuitätenrechner!$F$37))</f>
        <v>583.33</v>
      </c>
      <c r="G51" s="71">
        <f>IF(E51="","",+ROUND(E51*Annuitätenrechner!$E$21/Annuitätenrechner!$O$27,2))</f>
        <v>410.31</v>
      </c>
      <c r="H51" s="71">
        <f>IF(E51="","",IF(Annuitätenrechner!$F$37-G51&lt;=E51,Annuitätenrechner!$F$37-G51,E51))</f>
        <v>173.02000000000004</v>
      </c>
      <c r="I51" s="91">
        <f t="shared" si="3"/>
        <v>98301.76</v>
      </c>
      <c r="J51" s="41"/>
      <c r="N51" s="56">
        <f ca="1" t="shared" si="4"/>
        <v>1</v>
      </c>
      <c r="O51" s="57">
        <f t="shared" si="5"/>
        <v>7</v>
      </c>
      <c r="P51" s="58">
        <f ca="1" t="shared" si="6"/>
        <v>2019</v>
      </c>
      <c r="R51" s="56">
        <f t="shared" si="7"/>
        <v>7</v>
      </c>
      <c r="S51" s="57" t="str">
        <f t="shared" si="8"/>
        <v/>
      </c>
      <c r="T51" s="58" t="str">
        <f t="shared" si="9"/>
        <v/>
      </c>
    </row>
    <row r="52" spans="2:20" s="7" customFormat="1" ht="12.75">
      <c r="B52" s="42"/>
      <c r="C52" s="89">
        <f t="shared" si="1"/>
        <v>11</v>
      </c>
      <c r="D52" s="90">
        <f ca="1" t="shared" si="0"/>
        <v>43678</v>
      </c>
      <c r="E52" s="71">
        <f t="shared" si="2"/>
        <v>98301.76</v>
      </c>
      <c r="F52" s="71">
        <f>IF(E52="","",IF(Annuitätenrechner!$F$37&gt;=E52,E52+ROUND(E52*Annuitätenrechner!$E$21/Annuitätenrechner!$O$27,2),Annuitätenrechner!$F$37))</f>
        <v>583.33</v>
      </c>
      <c r="G52" s="71">
        <f>IF(E52="","",+ROUND(E52*Annuitätenrechner!$E$21/Annuitätenrechner!$O$27,2))</f>
        <v>409.59</v>
      </c>
      <c r="H52" s="71">
        <f>IF(E52="","",IF(Annuitätenrechner!$F$37-G52&lt;=E52,Annuitätenrechner!$F$37-G52,E52))</f>
        <v>173.74000000000007</v>
      </c>
      <c r="I52" s="91">
        <f t="shared" si="3"/>
        <v>98128.01999999999</v>
      </c>
      <c r="J52" s="41"/>
      <c r="N52" s="56">
        <f ca="1" t="shared" si="4"/>
        <v>1</v>
      </c>
      <c r="O52" s="57">
        <f t="shared" si="5"/>
        <v>8</v>
      </c>
      <c r="P52" s="58">
        <f ca="1" t="shared" si="6"/>
        <v>2019</v>
      </c>
      <c r="R52" s="56">
        <f t="shared" si="7"/>
        <v>8</v>
      </c>
      <c r="S52" s="57" t="str">
        <f t="shared" si="8"/>
        <v/>
      </c>
      <c r="T52" s="58" t="str">
        <f t="shared" si="9"/>
        <v/>
      </c>
    </row>
    <row r="53" spans="2:20" s="7" customFormat="1" ht="12.75">
      <c r="B53" s="42"/>
      <c r="C53" s="89">
        <f t="shared" si="1"/>
        <v>12</v>
      </c>
      <c r="D53" s="90">
        <f ca="1" t="shared" si="0"/>
        <v>43709</v>
      </c>
      <c r="E53" s="71">
        <f t="shared" si="2"/>
        <v>98128.01999999999</v>
      </c>
      <c r="F53" s="71">
        <f>IF(E53="","",IF(Annuitätenrechner!$F$37&gt;=E53,E53+ROUND(E53*Annuitätenrechner!$E$21/Annuitätenrechner!$O$27,2),Annuitätenrechner!$F$37))</f>
        <v>583.33</v>
      </c>
      <c r="G53" s="71">
        <f>IF(E53="","",+ROUND(E53*Annuitätenrechner!$E$21/Annuitätenrechner!$O$27,2))</f>
        <v>408.87</v>
      </c>
      <c r="H53" s="71">
        <f>IF(E53="","",IF(Annuitätenrechner!$F$37-G53&lt;=E53,Annuitätenrechner!$F$37-G53,E53))</f>
        <v>174.46000000000004</v>
      </c>
      <c r="I53" s="91">
        <f t="shared" si="3"/>
        <v>97953.55999999998</v>
      </c>
      <c r="J53" s="41"/>
      <c r="N53" s="56">
        <f ca="1" t="shared" si="4"/>
        <v>1</v>
      </c>
      <c r="O53" s="57">
        <f t="shared" si="5"/>
        <v>9</v>
      </c>
      <c r="P53" s="58">
        <f ca="1" t="shared" si="6"/>
        <v>2019</v>
      </c>
      <c r="R53" s="56">
        <f t="shared" si="7"/>
        <v>9</v>
      </c>
      <c r="S53" s="57" t="str">
        <f t="shared" si="8"/>
        <v/>
      </c>
      <c r="T53" s="58" t="str">
        <f t="shared" si="9"/>
        <v/>
      </c>
    </row>
    <row r="54" spans="2:20" s="7" customFormat="1" ht="12.75">
      <c r="B54" s="42"/>
      <c r="C54" s="89">
        <f t="shared" si="1"/>
        <v>13</v>
      </c>
      <c r="D54" s="90">
        <f ca="1" t="shared" si="0"/>
        <v>43739</v>
      </c>
      <c r="E54" s="71">
        <f t="shared" si="2"/>
        <v>97953.55999999998</v>
      </c>
      <c r="F54" s="71">
        <f>IF(E54="","",IF(Annuitätenrechner!$F$37&gt;=E54,E54+ROUND(E54*Annuitätenrechner!$E$21/Annuitätenrechner!$O$27,2),Annuitätenrechner!$F$37))</f>
        <v>583.33</v>
      </c>
      <c r="G54" s="71">
        <f>IF(E54="","",+ROUND(E54*Annuitätenrechner!$E$21/Annuitätenrechner!$O$27,2))</f>
        <v>408.14</v>
      </c>
      <c r="H54" s="71">
        <f>IF(E54="","",IF(Annuitätenrechner!$F$37-G54&lt;=E54,Annuitätenrechner!$F$37-G54,E54))</f>
        <v>175.19000000000005</v>
      </c>
      <c r="I54" s="91">
        <f t="shared" si="3"/>
        <v>97778.36999999998</v>
      </c>
      <c r="J54" s="41"/>
      <c r="N54" s="56">
        <f ca="1" t="shared" si="4"/>
        <v>1</v>
      </c>
      <c r="O54" s="57">
        <f t="shared" si="5"/>
        <v>10</v>
      </c>
      <c r="P54" s="58">
        <f ca="1" t="shared" si="6"/>
        <v>2019</v>
      </c>
      <c r="R54" s="56">
        <f t="shared" si="7"/>
        <v>10</v>
      </c>
      <c r="S54" s="57" t="str">
        <f t="shared" si="8"/>
        <v/>
      </c>
      <c r="T54" s="58" t="str">
        <f t="shared" si="9"/>
        <v/>
      </c>
    </row>
    <row r="55" spans="2:20" s="7" customFormat="1" ht="12.75">
      <c r="B55" s="42"/>
      <c r="C55" s="89">
        <f t="shared" si="1"/>
        <v>14</v>
      </c>
      <c r="D55" s="90">
        <f ca="1" t="shared" si="0"/>
        <v>43770</v>
      </c>
      <c r="E55" s="71">
        <f t="shared" si="2"/>
        <v>97778.36999999998</v>
      </c>
      <c r="F55" s="71">
        <f>IF(E55="","",IF(Annuitätenrechner!$F$37&gt;=E55,E55+ROUND(E55*Annuitätenrechner!$E$21/Annuitätenrechner!$O$27,2),Annuitätenrechner!$F$37))</f>
        <v>583.33</v>
      </c>
      <c r="G55" s="71">
        <f>IF(E55="","",+ROUND(E55*Annuitätenrechner!$E$21/Annuitätenrechner!$O$27,2))</f>
        <v>407.41</v>
      </c>
      <c r="H55" s="71">
        <f>IF(E55="","",IF(Annuitätenrechner!$F$37-G55&lt;=E55,Annuitätenrechner!$F$37-G55,E55))</f>
        <v>175.92000000000002</v>
      </c>
      <c r="I55" s="91">
        <f t="shared" si="3"/>
        <v>97602.44999999998</v>
      </c>
      <c r="J55" s="41"/>
      <c r="N55" s="56">
        <f ca="1" t="shared" si="4"/>
        <v>1</v>
      </c>
      <c r="O55" s="57">
        <f t="shared" si="5"/>
        <v>11</v>
      </c>
      <c r="P55" s="58">
        <f ca="1" t="shared" si="6"/>
        <v>2019</v>
      </c>
      <c r="R55" s="56">
        <f t="shared" si="7"/>
        <v>11</v>
      </c>
      <c r="S55" s="57" t="str">
        <f t="shared" si="8"/>
        <v/>
      </c>
      <c r="T55" s="58" t="str">
        <f t="shared" si="9"/>
        <v/>
      </c>
    </row>
    <row r="56" spans="2:20" s="7" customFormat="1" ht="12.75">
      <c r="B56" s="42"/>
      <c r="C56" s="89">
        <f t="shared" si="1"/>
        <v>15</v>
      </c>
      <c r="D56" s="90">
        <f ca="1" t="shared" si="0"/>
        <v>43800</v>
      </c>
      <c r="E56" s="71">
        <f t="shared" si="2"/>
        <v>97602.44999999998</v>
      </c>
      <c r="F56" s="71">
        <f>IF(E56="","",IF(Annuitätenrechner!$F$37&gt;=E56,E56+ROUND(E56*Annuitätenrechner!$E$21/Annuitätenrechner!$O$27,2),Annuitätenrechner!$F$37))</f>
        <v>583.33</v>
      </c>
      <c r="G56" s="71">
        <f>IF(E56="","",+ROUND(E56*Annuitätenrechner!$E$21/Annuitätenrechner!$O$27,2))</f>
        <v>406.68</v>
      </c>
      <c r="H56" s="71">
        <f>IF(E56="","",IF(Annuitätenrechner!$F$37-G56&lt;=E56,Annuitätenrechner!$F$37-G56,E56))</f>
        <v>176.65000000000003</v>
      </c>
      <c r="I56" s="91">
        <f t="shared" si="3"/>
        <v>97425.79999999999</v>
      </c>
      <c r="J56" s="41"/>
      <c r="N56" s="56">
        <f ca="1" t="shared" si="4"/>
        <v>1</v>
      </c>
      <c r="O56" s="57">
        <f t="shared" si="5"/>
        <v>12</v>
      </c>
      <c r="P56" s="58">
        <f ca="1" t="shared" si="6"/>
        <v>2019</v>
      </c>
      <c r="R56" s="56">
        <f t="shared" si="7"/>
        <v>12</v>
      </c>
      <c r="S56" s="57" t="str">
        <f t="shared" si="8"/>
        <v/>
      </c>
      <c r="T56" s="58" t="str">
        <f t="shared" si="9"/>
        <v/>
      </c>
    </row>
    <row r="57" spans="2:20" s="7" customFormat="1" ht="12.75">
      <c r="B57" s="42"/>
      <c r="C57" s="89">
        <f t="shared" si="1"/>
        <v>16</v>
      </c>
      <c r="D57" s="90">
        <f ca="1" t="shared" si="0"/>
        <v>43831</v>
      </c>
      <c r="E57" s="71">
        <f t="shared" si="2"/>
        <v>97425.79999999999</v>
      </c>
      <c r="F57" s="71">
        <f>IF(E57="","",IF(Annuitätenrechner!$F$37&gt;=E57,E57+ROUND(E57*Annuitätenrechner!$E$21/Annuitätenrechner!$O$27,2),Annuitätenrechner!$F$37))</f>
        <v>583.33</v>
      </c>
      <c r="G57" s="71">
        <f>IF(E57="","",+ROUND(E57*Annuitätenrechner!$E$21/Annuitätenrechner!$O$27,2))</f>
        <v>405.94</v>
      </c>
      <c r="H57" s="71">
        <f>IF(E57="","",IF(Annuitätenrechner!$F$37-G57&lt;=E57,Annuitätenrechner!$F$37-G57,E57))</f>
        <v>177.39000000000004</v>
      </c>
      <c r="I57" s="91">
        <f t="shared" si="3"/>
        <v>97248.40999999999</v>
      </c>
      <c r="J57" s="41"/>
      <c r="N57" s="56">
        <f ca="1" t="shared" si="4"/>
        <v>1</v>
      </c>
      <c r="O57" s="57">
        <f t="shared" si="5"/>
        <v>1</v>
      </c>
      <c r="P57" s="58">
        <f ca="1" t="shared" si="6"/>
        <v>2020</v>
      </c>
      <c r="R57" s="56">
        <f t="shared" si="7"/>
        <v>1</v>
      </c>
      <c r="S57" s="57" t="str">
        <f t="shared" si="8"/>
        <v/>
      </c>
      <c r="T57" s="58" t="str">
        <f t="shared" si="9"/>
        <v/>
      </c>
    </row>
    <row r="58" spans="2:20" s="7" customFormat="1" ht="12.75">
      <c r="B58" s="42"/>
      <c r="C58" s="89">
        <f t="shared" si="1"/>
        <v>17</v>
      </c>
      <c r="D58" s="90">
        <f ca="1" t="shared" si="0"/>
        <v>43862</v>
      </c>
      <c r="E58" s="71">
        <f t="shared" si="2"/>
        <v>97248.40999999999</v>
      </c>
      <c r="F58" s="71">
        <f>IF(E58="","",IF(Annuitätenrechner!$F$37&gt;=E58,E58+ROUND(E58*Annuitätenrechner!$E$21/Annuitätenrechner!$O$27,2),Annuitätenrechner!$F$37))</f>
        <v>583.33</v>
      </c>
      <c r="G58" s="71">
        <f>IF(E58="","",+ROUND(E58*Annuitätenrechner!$E$21/Annuitätenrechner!$O$27,2))</f>
        <v>405.2</v>
      </c>
      <c r="H58" s="71">
        <f>IF(E58="","",IF(Annuitätenrechner!$F$37-G58&lt;=E58,Annuitätenrechner!$F$37-G58,E58))</f>
        <v>178.13000000000005</v>
      </c>
      <c r="I58" s="91">
        <f t="shared" si="3"/>
        <v>97070.27999999998</v>
      </c>
      <c r="J58" s="41"/>
      <c r="N58" s="56">
        <f ca="1" t="shared" si="4"/>
        <v>1</v>
      </c>
      <c r="O58" s="57">
        <f t="shared" si="5"/>
        <v>2</v>
      </c>
      <c r="P58" s="58">
        <f ca="1" t="shared" si="6"/>
        <v>2020</v>
      </c>
      <c r="R58" s="56">
        <f t="shared" si="7"/>
        <v>2</v>
      </c>
      <c r="S58" s="57" t="str">
        <f t="shared" si="8"/>
        <v/>
      </c>
      <c r="T58" s="58" t="str">
        <f t="shared" si="9"/>
        <v/>
      </c>
    </row>
    <row r="59" spans="2:20" s="7" customFormat="1" ht="12.75">
      <c r="B59" s="42"/>
      <c r="C59" s="89">
        <f t="shared" si="1"/>
        <v>18</v>
      </c>
      <c r="D59" s="90">
        <f ca="1" t="shared" si="0"/>
        <v>43891</v>
      </c>
      <c r="E59" s="71">
        <f t="shared" si="2"/>
        <v>97070.27999999998</v>
      </c>
      <c r="F59" s="71">
        <f>IF(E59="","",IF(Annuitätenrechner!$F$37&gt;=E59,E59+ROUND(E59*Annuitätenrechner!$E$21/Annuitätenrechner!$O$27,2),Annuitätenrechner!$F$37))</f>
        <v>583.33</v>
      </c>
      <c r="G59" s="71">
        <f>IF(E59="","",+ROUND(E59*Annuitätenrechner!$E$21/Annuitätenrechner!$O$27,2))</f>
        <v>404.46</v>
      </c>
      <c r="H59" s="71">
        <f>IF(E59="","",IF(Annuitätenrechner!$F$37-G59&lt;=E59,Annuitätenrechner!$F$37-G59,E59))</f>
        <v>178.87000000000006</v>
      </c>
      <c r="I59" s="91">
        <f t="shared" si="3"/>
        <v>96891.40999999999</v>
      </c>
      <c r="J59" s="41"/>
      <c r="N59" s="56">
        <f ca="1" t="shared" si="4"/>
        <v>1</v>
      </c>
      <c r="O59" s="57">
        <f t="shared" si="5"/>
        <v>3</v>
      </c>
      <c r="P59" s="58">
        <f ca="1" t="shared" si="6"/>
        <v>2020</v>
      </c>
      <c r="R59" s="56">
        <f t="shared" si="7"/>
        <v>3</v>
      </c>
      <c r="S59" s="57" t="str">
        <f t="shared" si="8"/>
        <v/>
      </c>
      <c r="T59" s="58" t="str">
        <f t="shared" si="9"/>
        <v/>
      </c>
    </row>
    <row r="60" spans="2:20" s="7" customFormat="1" ht="12.75">
      <c r="B60" s="42"/>
      <c r="C60" s="89">
        <f t="shared" si="1"/>
        <v>19</v>
      </c>
      <c r="D60" s="90">
        <f ca="1" t="shared" si="0"/>
        <v>43922</v>
      </c>
      <c r="E60" s="71">
        <f t="shared" si="2"/>
        <v>96891.40999999999</v>
      </c>
      <c r="F60" s="71">
        <f>IF(E60="","",IF(Annuitätenrechner!$F$37&gt;=E60,E60+ROUND(E60*Annuitätenrechner!$E$21/Annuitätenrechner!$O$27,2),Annuitätenrechner!$F$37))</f>
        <v>583.33</v>
      </c>
      <c r="G60" s="71">
        <f>IF(E60="","",+ROUND(E60*Annuitätenrechner!$E$21/Annuitätenrechner!$O$27,2))</f>
        <v>403.71</v>
      </c>
      <c r="H60" s="71">
        <f>IF(E60="","",IF(Annuitätenrechner!$F$37-G60&lt;=E60,Annuitätenrechner!$F$37-G60,E60))</f>
        <v>179.62000000000006</v>
      </c>
      <c r="I60" s="91">
        <f t="shared" si="3"/>
        <v>96711.79</v>
      </c>
      <c r="J60" s="41"/>
      <c r="N60" s="56">
        <f ca="1" t="shared" si="4"/>
        <v>1</v>
      </c>
      <c r="O60" s="57">
        <f t="shared" si="5"/>
        <v>4</v>
      </c>
      <c r="P60" s="58">
        <f ca="1" t="shared" si="6"/>
        <v>2020</v>
      </c>
      <c r="R60" s="56">
        <f t="shared" si="7"/>
        <v>4</v>
      </c>
      <c r="S60" s="57" t="str">
        <f t="shared" si="8"/>
        <v/>
      </c>
      <c r="T60" s="58" t="str">
        <f t="shared" si="9"/>
        <v/>
      </c>
    </row>
    <row r="61" spans="2:20" s="7" customFormat="1" ht="12.75">
      <c r="B61" s="42"/>
      <c r="C61" s="89">
        <f t="shared" si="1"/>
        <v>20</v>
      </c>
      <c r="D61" s="90">
        <f ca="1" t="shared" si="0"/>
        <v>43952</v>
      </c>
      <c r="E61" s="71">
        <f t="shared" si="2"/>
        <v>96711.79</v>
      </c>
      <c r="F61" s="71">
        <f>IF(E61="","",IF(Annuitätenrechner!$F$37&gt;=E61,E61+ROUND(E61*Annuitätenrechner!$E$21/Annuitätenrechner!$O$27,2),Annuitätenrechner!$F$37))</f>
        <v>583.33</v>
      </c>
      <c r="G61" s="71">
        <f>IF(E61="","",+ROUND(E61*Annuitätenrechner!$E$21/Annuitätenrechner!$O$27,2))</f>
        <v>402.97</v>
      </c>
      <c r="H61" s="71">
        <f>IF(E61="","",IF(Annuitätenrechner!$F$37-G61&lt;=E61,Annuitätenrechner!$F$37-G61,E61))</f>
        <v>180.36</v>
      </c>
      <c r="I61" s="91">
        <f t="shared" si="3"/>
        <v>96531.43</v>
      </c>
      <c r="J61" s="41"/>
      <c r="N61" s="56">
        <f ca="1" t="shared" si="4"/>
        <v>1</v>
      </c>
      <c r="O61" s="57">
        <f t="shared" si="5"/>
        <v>5</v>
      </c>
      <c r="P61" s="58">
        <f ca="1" t="shared" si="6"/>
        <v>2020</v>
      </c>
      <c r="R61" s="56">
        <f t="shared" si="7"/>
        <v>5</v>
      </c>
      <c r="S61" s="57" t="str">
        <f t="shared" si="8"/>
        <v/>
      </c>
      <c r="T61" s="58" t="str">
        <f t="shared" si="9"/>
        <v/>
      </c>
    </row>
    <row r="62" spans="2:20" s="7" customFormat="1" ht="12.75">
      <c r="B62" s="42"/>
      <c r="C62" s="89">
        <f t="shared" si="1"/>
        <v>21</v>
      </c>
      <c r="D62" s="90">
        <f ca="1" t="shared" si="0"/>
        <v>43983</v>
      </c>
      <c r="E62" s="71">
        <f t="shared" si="2"/>
        <v>96531.43</v>
      </c>
      <c r="F62" s="71">
        <f>IF(E62="","",IF(Annuitätenrechner!$F$37&gt;=E62,E62+ROUND(E62*Annuitätenrechner!$E$21/Annuitätenrechner!$O$27,2),Annuitätenrechner!$F$37))</f>
        <v>583.33</v>
      </c>
      <c r="G62" s="71">
        <f>IF(E62="","",+ROUND(E62*Annuitätenrechner!$E$21/Annuitätenrechner!$O$27,2))</f>
        <v>402.21</v>
      </c>
      <c r="H62" s="71">
        <f>IF(E62="","",IF(Annuitätenrechner!$F$37-G62&lt;=E62,Annuitätenrechner!$F$37-G62,E62))</f>
        <v>181.12000000000006</v>
      </c>
      <c r="I62" s="91">
        <f t="shared" si="3"/>
        <v>96350.31</v>
      </c>
      <c r="J62" s="41"/>
      <c r="N62" s="56">
        <f ca="1" t="shared" si="4"/>
        <v>1</v>
      </c>
      <c r="O62" s="57">
        <f t="shared" si="5"/>
        <v>6</v>
      </c>
      <c r="P62" s="58">
        <f ca="1" t="shared" si="6"/>
        <v>2020</v>
      </c>
      <c r="R62" s="56">
        <f t="shared" si="7"/>
        <v>6</v>
      </c>
      <c r="S62" s="57" t="str">
        <f t="shared" si="8"/>
        <v/>
      </c>
      <c r="T62" s="58" t="str">
        <f t="shared" si="9"/>
        <v/>
      </c>
    </row>
    <row r="63" spans="2:20" s="7" customFormat="1" ht="12.75">
      <c r="B63" s="42"/>
      <c r="C63" s="89">
        <f t="shared" si="1"/>
        <v>22</v>
      </c>
      <c r="D63" s="90">
        <f ca="1" t="shared" si="0"/>
        <v>44013</v>
      </c>
      <c r="E63" s="71">
        <f t="shared" si="2"/>
        <v>96350.31</v>
      </c>
      <c r="F63" s="71">
        <f>IF(E63="","",IF(Annuitätenrechner!$F$37&gt;=E63,E63+ROUND(E63*Annuitätenrechner!$E$21/Annuitätenrechner!$O$27,2),Annuitätenrechner!$F$37))</f>
        <v>583.33</v>
      </c>
      <c r="G63" s="71">
        <f>IF(E63="","",+ROUND(E63*Annuitätenrechner!$E$21/Annuitätenrechner!$O$27,2))</f>
        <v>401.46</v>
      </c>
      <c r="H63" s="71">
        <f>IF(E63="","",IF(Annuitätenrechner!$F$37-G63&lt;=E63,Annuitätenrechner!$F$37-G63,E63))</f>
        <v>181.87000000000006</v>
      </c>
      <c r="I63" s="91">
        <f t="shared" si="3"/>
        <v>96168.44</v>
      </c>
      <c r="J63" s="41"/>
      <c r="N63" s="56">
        <f ca="1" t="shared" si="4"/>
        <v>1</v>
      </c>
      <c r="O63" s="57">
        <f t="shared" si="5"/>
        <v>7</v>
      </c>
      <c r="P63" s="58">
        <f ca="1" t="shared" si="6"/>
        <v>2020</v>
      </c>
      <c r="R63" s="56">
        <f t="shared" si="7"/>
        <v>7</v>
      </c>
      <c r="S63" s="57" t="str">
        <f t="shared" si="8"/>
        <v/>
      </c>
      <c r="T63" s="58" t="str">
        <f t="shared" si="9"/>
        <v/>
      </c>
    </row>
    <row r="64" spans="2:20" s="7" customFormat="1" ht="12.75">
      <c r="B64" s="42"/>
      <c r="C64" s="89">
        <f t="shared" si="1"/>
        <v>23</v>
      </c>
      <c r="D64" s="90">
        <f ca="1" t="shared" si="0"/>
        <v>44044</v>
      </c>
      <c r="E64" s="71">
        <f t="shared" si="2"/>
        <v>96168.44</v>
      </c>
      <c r="F64" s="71">
        <f>IF(E64="","",IF(Annuitätenrechner!$F$37&gt;=E64,E64+ROUND(E64*Annuitätenrechner!$E$21/Annuitätenrechner!$O$27,2),Annuitätenrechner!$F$37))</f>
        <v>583.33</v>
      </c>
      <c r="G64" s="71">
        <f>IF(E64="","",+ROUND(E64*Annuitätenrechner!$E$21/Annuitätenrechner!$O$27,2))</f>
        <v>400.7</v>
      </c>
      <c r="H64" s="71">
        <f>IF(E64="","",IF(Annuitätenrechner!$F$37-G64&lt;=E64,Annuitätenrechner!$F$37-G64,E64))</f>
        <v>182.63000000000005</v>
      </c>
      <c r="I64" s="91">
        <f t="shared" si="3"/>
        <v>95985.81</v>
      </c>
      <c r="J64" s="41"/>
      <c r="N64" s="56">
        <f ca="1" t="shared" si="4"/>
        <v>1</v>
      </c>
      <c r="O64" s="57">
        <f t="shared" si="5"/>
        <v>8</v>
      </c>
      <c r="P64" s="58">
        <f ca="1" t="shared" si="6"/>
        <v>2020</v>
      </c>
      <c r="R64" s="56">
        <f t="shared" si="7"/>
        <v>8</v>
      </c>
      <c r="S64" s="57" t="str">
        <f t="shared" si="8"/>
        <v/>
      </c>
      <c r="T64" s="58" t="str">
        <f t="shared" si="9"/>
        <v/>
      </c>
    </row>
    <row r="65" spans="2:20" s="7" customFormat="1" ht="12.75">
      <c r="B65" s="42"/>
      <c r="C65" s="89">
        <f t="shared" si="1"/>
        <v>24</v>
      </c>
      <c r="D65" s="90">
        <f ca="1" t="shared" si="0"/>
        <v>44075</v>
      </c>
      <c r="E65" s="71">
        <f t="shared" si="2"/>
        <v>95985.81</v>
      </c>
      <c r="F65" s="71">
        <f>IF(E65="","",IF(Annuitätenrechner!$F$37&gt;=E65,E65+ROUND(E65*Annuitätenrechner!$E$21/Annuitätenrechner!$O$27,2),Annuitätenrechner!$F$37))</f>
        <v>583.33</v>
      </c>
      <c r="G65" s="71">
        <f>IF(E65="","",+ROUND(E65*Annuitätenrechner!$E$21/Annuitätenrechner!$O$27,2))</f>
        <v>399.94</v>
      </c>
      <c r="H65" s="71">
        <f>IF(E65="","",IF(Annuitätenrechner!$F$37-G65&lt;=E65,Annuitätenrechner!$F$37-G65,E65))</f>
        <v>183.39000000000004</v>
      </c>
      <c r="I65" s="91">
        <f t="shared" si="3"/>
        <v>95802.42</v>
      </c>
      <c r="J65" s="41"/>
      <c r="N65" s="56">
        <f ca="1" t="shared" si="4"/>
        <v>1</v>
      </c>
      <c r="O65" s="57">
        <f t="shared" si="5"/>
        <v>9</v>
      </c>
      <c r="P65" s="58">
        <f ca="1" t="shared" si="6"/>
        <v>2020</v>
      </c>
      <c r="R65" s="56">
        <f t="shared" si="7"/>
        <v>9</v>
      </c>
      <c r="S65" s="57" t="str">
        <f t="shared" si="8"/>
        <v/>
      </c>
      <c r="T65" s="58" t="str">
        <f t="shared" si="9"/>
        <v/>
      </c>
    </row>
    <row r="66" spans="2:20" s="7" customFormat="1" ht="12.75">
      <c r="B66" s="42"/>
      <c r="C66" s="89">
        <f t="shared" si="1"/>
        <v>25</v>
      </c>
      <c r="D66" s="90">
        <f ca="1" t="shared" si="0"/>
        <v>44105</v>
      </c>
      <c r="E66" s="71">
        <f t="shared" si="2"/>
        <v>95802.42</v>
      </c>
      <c r="F66" s="71">
        <f>IF(E66="","",IF(Annuitätenrechner!$F$37&gt;=E66,E66+ROUND(E66*Annuitätenrechner!$E$21/Annuitätenrechner!$O$27,2),Annuitätenrechner!$F$37))</f>
        <v>583.33</v>
      </c>
      <c r="G66" s="71">
        <f>IF(E66="","",+ROUND(E66*Annuitätenrechner!$E$21/Annuitätenrechner!$O$27,2))</f>
        <v>399.18</v>
      </c>
      <c r="H66" s="71">
        <f>IF(E66="","",IF(Annuitätenrechner!$F$37-G66&lt;=E66,Annuitätenrechner!$F$37-G66,E66))</f>
        <v>184.15000000000003</v>
      </c>
      <c r="I66" s="91">
        <f t="shared" si="3"/>
        <v>95618.27</v>
      </c>
      <c r="J66" s="41"/>
      <c r="N66" s="56">
        <f ca="1" t="shared" si="4"/>
        <v>1</v>
      </c>
      <c r="O66" s="57">
        <f t="shared" si="5"/>
        <v>10</v>
      </c>
      <c r="P66" s="58">
        <f ca="1" t="shared" si="6"/>
        <v>2020</v>
      </c>
      <c r="R66" s="56">
        <f t="shared" si="7"/>
        <v>10</v>
      </c>
      <c r="S66" s="57" t="str">
        <f t="shared" si="8"/>
        <v/>
      </c>
      <c r="T66" s="58" t="str">
        <f t="shared" si="9"/>
        <v/>
      </c>
    </row>
    <row r="67" spans="2:20" s="7" customFormat="1" ht="12.75">
      <c r="B67" s="42"/>
      <c r="C67" s="89">
        <f t="shared" si="1"/>
        <v>26</v>
      </c>
      <c r="D67" s="90">
        <f ca="1" t="shared" si="0"/>
        <v>44136</v>
      </c>
      <c r="E67" s="71">
        <f t="shared" si="2"/>
        <v>95618.27</v>
      </c>
      <c r="F67" s="71">
        <f>IF(E67="","",IF(Annuitätenrechner!$F$37&gt;=E67,E67+ROUND(E67*Annuitätenrechner!$E$21/Annuitätenrechner!$O$27,2),Annuitätenrechner!$F$37))</f>
        <v>583.33</v>
      </c>
      <c r="G67" s="71">
        <f>IF(E67="","",+ROUND(E67*Annuitätenrechner!$E$21/Annuitätenrechner!$O$27,2))</f>
        <v>398.41</v>
      </c>
      <c r="H67" s="71">
        <f>IF(E67="","",IF(Annuitätenrechner!$F$37-G67&lt;=E67,Annuitätenrechner!$F$37-G67,E67))</f>
        <v>184.92000000000002</v>
      </c>
      <c r="I67" s="91">
        <f t="shared" si="3"/>
        <v>95433.35</v>
      </c>
      <c r="J67" s="41"/>
      <c r="N67" s="56">
        <f ca="1" t="shared" si="4"/>
        <v>1</v>
      </c>
      <c r="O67" s="57">
        <f t="shared" si="5"/>
        <v>11</v>
      </c>
      <c r="P67" s="58">
        <f ca="1" t="shared" si="6"/>
        <v>2020</v>
      </c>
      <c r="R67" s="56">
        <f t="shared" si="7"/>
        <v>11</v>
      </c>
      <c r="S67" s="57" t="str">
        <f t="shared" si="8"/>
        <v/>
      </c>
      <c r="T67" s="58" t="str">
        <f t="shared" si="9"/>
        <v/>
      </c>
    </row>
    <row r="68" spans="2:20" s="7" customFormat="1" ht="12.75">
      <c r="B68" s="42"/>
      <c r="C68" s="89">
        <f t="shared" si="1"/>
        <v>27</v>
      </c>
      <c r="D68" s="90">
        <f ca="1" t="shared" si="0"/>
        <v>44166</v>
      </c>
      <c r="E68" s="71">
        <f t="shared" si="2"/>
        <v>95433.35</v>
      </c>
      <c r="F68" s="71">
        <f>IF(E68="","",IF(Annuitätenrechner!$F$37&gt;=E68,E68+ROUND(E68*Annuitätenrechner!$E$21/Annuitätenrechner!$O$27,2),Annuitätenrechner!$F$37))</f>
        <v>583.33</v>
      </c>
      <c r="G68" s="71">
        <f>IF(E68="","",+ROUND(E68*Annuitätenrechner!$E$21/Annuitätenrechner!$O$27,2))</f>
        <v>397.64</v>
      </c>
      <c r="H68" s="71">
        <f>IF(E68="","",IF(Annuitätenrechner!$F$37-G68&lt;=E68,Annuitätenrechner!$F$37-G68,E68))</f>
        <v>185.69000000000005</v>
      </c>
      <c r="I68" s="91">
        <f t="shared" si="3"/>
        <v>95247.66</v>
      </c>
      <c r="J68" s="41"/>
      <c r="N68" s="56">
        <f ca="1" t="shared" si="4"/>
        <v>1</v>
      </c>
      <c r="O68" s="57">
        <f t="shared" si="5"/>
        <v>12</v>
      </c>
      <c r="P68" s="58">
        <f ca="1" t="shared" si="6"/>
        <v>2020</v>
      </c>
      <c r="R68" s="56">
        <f t="shared" si="7"/>
        <v>12</v>
      </c>
      <c r="S68" s="57" t="str">
        <f t="shared" si="8"/>
        <v/>
      </c>
      <c r="T68" s="58" t="str">
        <f t="shared" si="9"/>
        <v/>
      </c>
    </row>
    <row r="69" spans="2:20" s="7" customFormat="1" ht="12.75">
      <c r="B69" s="42"/>
      <c r="C69" s="89">
        <f t="shared" si="1"/>
        <v>28</v>
      </c>
      <c r="D69" s="90">
        <f ca="1" t="shared" si="0"/>
        <v>44197</v>
      </c>
      <c r="E69" s="71">
        <f t="shared" si="2"/>
        <v>95247.66</v>
      </c>
      <c r="F69" s="71">
        <f>IF(E69="","",IF(Annuitätenrechner!$F$37&gt;=E69,E69+ROUND(E69*Annuitätenrechner!$E$21/Annuitätenrechner!$O$27,2),Annuitätenrechner!$F$37))</f>
        <v>583.33</v>
      </c>
      <c r="G69" s="71">
        <f>IF(E69="","",+ROUND(E69*Annuitätenrechner!$E$21/Annuitätenrechner!$O$27,2))</f>
        <v>396.87</v>
      </c>
      <c r="H69" s="71">
        <f>IF(E69="","",IF(Annuitätenrechner!$F$37-G69&lt;=E69,Annuitätenrechner!$F$37-G69,E69))</f>
        <v>186.46000000000004</v>
      </c>
      <c r="I69" s="91">
        <f t="shared" si="3"/>
        <v>95061.2</v>
      </c>
      <c r="J69" s="41"/>
      <c r="N69" s="56">
        <f ca="1" t="shared" si="4"/>
        <v>1</v>
      </c>
      <c r="O69" s="57">
        <f t="shared" si="5"/>
        <v>1</v>
      </c>
      <c r="P69" s="58">
        <f ca="1" t="shared" si="6"/>
        <v>2021</v>
      </c>
      <c r="R69" s="56">
        <f t="shared" si="7"/>
        <v>1</v>
      </c>
      <c r="S69" s="57" t="str">
        <f t="shared" si="8"/>
        <v/>
      </c>
      <c r="T69" s="58" t="str">
        <f t="shared" si="9"/>
        <v/>
      </c>
    </row>
    <row r="70" spans="2:20" s="7" customFormat="1" ht="12.75">
      <c r="B70" s="42"/>
      <c r="C70" s="89">
        <f t="shared" si="1"/>
        <v>29</v>
      </c>
      <c r="D70" s="90">
        <f ca="1" t="shared" si="0"/>
        <v>44228</v>
      </c>
      <c r="E70" s="71">
        <f t="shared" si="2"/>
        <v>95061.2</v>
      </c>
      <c r="F70" s="71">
        <f>IF(E70="","",IF(Annuitätenrechner!$F$37&gt;=E70,E70+ROUND(E70*Annuitätenrechner!$E$21/Annuitätenrechner!$O$27,2),Annuitätenrechner!$F$37))</f>
        <v>583.33</v>
      </c>
      <c r="G70" s="71">
        <f>IF(E70="","",+ROUND(E70*Annuitätenrechner!$E$21/Annuitätenrechner!$O$27,2))</f>
        <v>396.09</v>
      </c>
      <c r="H70" s="71">
        <f>IF(E70="","",IF(Annuitätenrechner!$F$37-G70&lt;=E70,Annuitätenrechner!$F$37-G70,E70))</f>
        <v>187.24000000000007</v>
      </c>
      <c r="I70" s="91">
        <f t="shared" si="3"/>
        <v>94873.95999999999</v>
      </c>
      <c r="J70" s="41"/>
      <c r="N70" s="56">
        <f ca="1" t="shared" si="4"/>
        <v>1</v>
      </c>
      <c r="O70" s="57">
        <f t="shared" si="5"/>
        <v>2</v>
      </c>
      <c r="P70" s="58">
        <f ca="1" t="shared" si="6"/>
        <v>2021</v>
      </c>
      <c r="R70" s="56">
        <f t="shared" si="7"/>
        <v>2</v>
      </c>
      <c r="S70" s="57" t="str">
        <f t="shared" si="8"/>
        <v/>
      </c>
      <c r="T70" s="58" t="str">
        <f t="shared" si="9"/>
        <v/>
      </c>
    </row>
    <row r="71" spans="2:20" s="7" customFormat="1" ht="12.75">
      <c r="B71" s="42"/>
      <c r="C71" s="89">
        <f t="shared" si="1"/>
        <v>30</v>
      </c>
      <c r="D71" s="90">
        <f ca="1" t="shared" si="0"/>
        <v>44256</v>
      </c>
      <c r="E71" s="71">
        <f t="shared" si="2"/>
        <v>94873.95999999999</v>
      </c>
      <c r="F71" s="71">
        <f>IF(E71="","",IF(Annuitätenrechner!$F$37&gt;=E71,E71+ROUND(E71*Annuitätenrechner!$E$21/Annuitätenrechner!$O$27,2),Annuitätenrechner!$F$37))</f>
        <v>583.33</v>
      </c>
      <c r="G71" s="71">
        <f>IF(E71="","",+ROUND(E71*Annuitätenrechner!$E$21/Annuitätenrechner!$O$27,2))</f>
        <v>395.31</v>
      </c>
      <c r="H71" s="71">
        <f>IF(E71="","",IF(Annuitätenrechner!$F$37-G71&lt;=E71,Annuitätenrechner!$F$37-G71,E71))</f>
        <v>188.02000000000004</v>
      </c>
      <c r="I71" s="91">
        <f t="shared" si="3"/>
        <v>94685.93999999999</v>
      </c>
      <c r="J71" s="41"/>
      <c r="N71" s="56">
        <f ca="1" t="shared" si="4"/>
        <v>1</v>
      </c>
      <c r="O71" s="57">
        <f t="shared" si="5"/>
        <v>3</v>
      </c>
      <c r="P71" s="58">
        <f ca="1" t="shared" si="6"/>
        <v>2021</v>
      </c>
      <c r="R71" s="56">
        <f t="shared" si="7"/>
        <v>3</v>
      </c>
      <c r="S71" s="57" t="str">
        <f t="shared" si="8"/>
        <v/>
      </c>
      <c r="T71" s="58" t="str">
        <f t="shared" si="9"/>
        <v/>
      </c>
    </row>
    <row r="72" spans="2:20" s="7" customFormat="1" ht="12.75">
      <c r="B72" s="42"/>
      <c r="C72" s="89">
        <f t="shared" si="1"/>
        <v>31</v>
      </c>
      <c r="D72" s="90">
        <f ca="1" t="shared" si="0"/>
        <v>44287</v>
      </c>
      <c r="E72" s="71">
        <f t="shared" si="2"/>
        <v>94685.93999999999</v>
      </c>
      <c r="F72" s="71">
        <f>IF(E72="","",IF(Annuitätenrechner!$F$37&gt;=E72,E72+ROUND(E72*Annuitätenrechner!$E$21/Annuitätenrechner!$O$27,2),Annuitätenrechner!$F$37))</f>
        <v>583.33</v>
      </c>
      <c r="G72" s="71">
        <f>IF(E72="","",+ROUND(E72*Annuitätenrechner!$E$21/Annuitätenrechner!$O$27,2))</f>
        <v>394.52</v>
      </c>
      <c r="H72" s="71">
        <f>IF(E72="","",IF(Annuitätenrechner!$F$37-G72&lt;=E72,Annuitätenrechner!$F$37-G72,E72))</f>
        <v>188.81000000000006</v>
      </c>
      <c r="I72" s="91">
        <f t="shared" si="3"/>
        <v>94497.12999999999</v>
      </c>
      <c r="J72" s="41"/>
      <c r="N72" s="56">
        <f ca="1" t="shared" si="4"/>
        <v>1</v>
      </c>
      <c r="O72" s="57">
        <f t="shared" si="5"/>
        <v>4</v>
      </c>
      <c r="P72" s="58">
        <f ca="1" t="shared" si="6"/>
        <v>2021</v>
      </c>
      <c r="R72" s="56">
        <f t="shared" si="7"/>
        <v>4</v>
      </c>
      <c r="S72" s="57" t="str">
        <f t="shared" si="8"/>
        <v/>
      </c>
      <c r="T72" s="58" t="str">
        <f t="shared" si="9"/>
        <v/>
      </c>
    </row>
    <row r="73" spans="2:20" s="7" customFormat="1" ht="12.75">
      <c r="B73" s="42"/>
      <c r="C73" s="89">
        <f t="shared" si="1"/>
        <v>32</v>
      </c>
      <c r="D73" s="90">
        <f ca="1" t="shared" si="0"/>
        <v>44317</v>
      </c>
      <c r="E73" s="71">
        <f t="shared" si="2"/>
        <v>94497.12999999999</v>
      </c>
      <c r="F73" s="71">
        <f>IF(E73="","",IF(Annuitätenrechner!$F$37&gt;=E73,E73+ROUND(E73*Annuitätenrechner!$E$21/Annuitätenrechner!$O$27,2),Annuitätenrechner!$F$37))</f>
        <v>583.33</v>
      </c>
      <c r="G73" s="71">
        <f>IF(E73="","",+ROUND(E73*Annuitätenrechner!$E$21/Annuitätenrechner!$O$27,2))</f>
        <v>393.74</v>
      </c>
      <c r="H73" s="71">
        <f>IF(E73="","",IF(Annuitätenrechner!$F$37-G73&lt;=E73,Annuitätenrechner!$F$37-G73,E73))</f>
        <v>189.59000000000003</v>
      </c>
      <c r="I73" s="91">
        <f t="shared" si="3"/>
        <v>94307.54</v>
      </c>
      <c r="J73" s="41"/>
      <c r="N73" s="56">
        <f ca="1" t="shared" si="4"/>
        <v>1</v>
      </c>
      <c r="O73" s="57">
        <f t="shared" si="5"/>
        <v>5</v>
      </c>
      <c r="P73" s="58">
        <f ca="1" t="shared" si="6"/>
        <v>2021</v>
      </c>
      <c r="R73" s="56">
        <f t="shared" si="7"/>
        <v>5</v>
      </c>
      <c r="S73" s="57" t="str">
        <f t="shared" si="8"/>
        <v/>
      </c>
      <c r="T73" s="58" t="str">
        <f t="shared" si="9"/>
        <v/>
      </c>
    </row>
    <row r="74" spans="2:20" s="7" customFormat="1" ht="12.75">
      <c r="B74" s="42"/>
      <c r="C74" s="89">
        <f t="shared" si="1"/>
        <v>33</v>
      </c>
      <c r="D74" s="90">
        <f ca="1" t="shared" si="0"/>
        <v>44348</v>
      </c>
      <c r="E74" s="71">
        <f t="shared" si="2"/>
        <v>94307.54</v>
      </c>
      <c r="F74" s="71">
        <f>IF(E74="","",IF(Annuitätenrechner!$F$37&gt;=E74,E74+ROUND(E74*Annuitätenrechner!$E$21/Annuitätenrechner!$O$27,2),Annuitätenrechner!$F$37))</f>
        <v>583.33</v>
      </c>
      <c r="G74" s="71">
        <f>IF(E74="","",+ROUND(E74*Annuitätenrechner!$E$21/Annuitätenrechner!$O$27,2))</f>
        <v>392.95</v>
      </c>
      <c r="H74" s="71">
        <f>IF(E74="","",IF(Annuitätenrechner!$F$37-G74&lt;=E74,Annuitätenrechner!$F$37-G74,E74))</f>
        <v>190.38000000000005</v>
      </c>
      <c r="I74" s="91">
        <f t="shared" si="3"/>
        <v>94117.15999999999</v>
      </c>
      <c r="J74" s="41"/>
      <c r="N74" s="56">
        <f ca="1" t="shared" si="4"/>
        <v>1</v>
      </c>
      <c r="O74" s="57">
        <f t="shared" si="5"/>
        <v>6</v>
      </c>
      <c r="P74" s="58">
        <f ca="1" t="shared" si="6"/>
        <v>2021</v>
      </c>
      <c r="R74" s="56">
        <f t="shared" si="7"/>
        <v>6</v>
      </c>
      <c r="S74" s="57" t="str">
        <f t="shared" si="8"/>
        <v/>
      </c>
      <c r="T74" s="58" t="str">
        <f t="shared" si="9"/>
        <v/>
      </c>
    </row>
    <row r="75" spans="2:20" s="7" customFormat="1" ht="12.75">
      <c r="B75" s="42"/>
      <c r="C75" s="89">
        <f t="shared" si="1"/>
        <v>34</v>
      </c>
      <c r="D75" s="90">
        <f ca="1" t="shared" si="0"/>
        <v>44378</v>
      </c>
      <c r="E75" s="71">
        <f t="shared" si="2"/>
        <v>94117.15999999999</v>
      </c>
      <c r="F75" s="71">
        <f>IF(E75="","",IF(Annuitätenrechner!$F$37&gt;=E75,E75+ROUND(E75*Annuitätenrechner!$E$21/Annuitätenrechner!$O$27,2),Annuitätenrechner!$F$37))</f>
        <v>583.33</v>
      </c>
      <c r="G75" s="71">
        <f>IF(E75="","",+ROUND(E75*Annuitätenrechner!$E$21/Annuitätenrechner!$O$27,2))</f>
        <v>392.15</v>
      </c>
      <c r="H75" s="71">
        <f>IF(E75="","",IF(Annuitätenrechner!$F$37-G75&lt;=E75,Annuitätenrechner!$F$37-G75,E75))</f>
        <v>191.18000000000006</v>
      </c>
      <c r="I75" s="91">
        <f t="shared" si="3"/>
        <v>93925.98</v>
      </c>
      <c r="J75" s="41"/>
      <c r="N75" s="56">
        <f ca="1" t="shared" si="4"/>
        <v>1</v>
      </c>
      <c r="O75" s="57">
        <f t="shared" si="5"/>
        <v>7</v>
      </c>
      <c r="P75" s="58">
        <f ca="1" t="shared" si="6"/>
        <v>2021</v>
      </c>
      <c r="R75" s="56">
        <f t="shared" si="7"/>
        <v>7</v>
      </c>
      <c r="S75" s="57" t="str">
        <f t="shared" si="8"/>
        <v/>
      </c>
      <c r="T75" s="58" t="str">
        <f t="shared" si="9"/>
        <v/>
      </c>
    </row>
    <row r="76" spans="2:20" s="7" customFormat="1" ht="12.75">
      <c r="B76" s="42"/>
      <c r="C76" s="89">
        <f t="shared" si="1"/>
        <v>35</v>
      </c>
      <c r="D76" s="90">
        <f ca="1" t="shared" si="0"/>
        <v>44409</v>
      </c>
      <c r="E76" s="71">
        <f t="shared" si="2"/>
        <v>93925.98</v>
      </c>
      <c r="F76" s="71">
        <f>IF(E76="","",IF(Annuitätenrechner!$F$37&gt;=E76,E76+ROUND(E76*Annuitätenrechner!$E$21/Annuitätenrechner!$O$27,2),Annuitätenrechner!$F$37))</f>
        <v>583.33</v>
      </c>
      <c r="G76" s="71">
        <f>IF(E76="","",+ROUND(E76*Annuitätenrechner!$E$21/Annuitätenrechner!$O$27,2))</f>
        <v>391.36</v>
      </c>
      <c r="H76" s="71">
        <f>IF(E76="","",IF(Annuitätenrechner!$F$37-G76&lt;=E76,Annuitätenrechner!$F$37-G76,E76))</f>
        <v>191.97000000000003</v>
      </c>
      <c r="I76" s="91">
        <f t="shared" si="3"/>
        <v>93734.01</v>
      </c>
      <c r="J76" s="41"/>
      <c r="N76" s="56">
        <f ca="1" t="shared" si="4"/>
        <v>1</v>
      </c>
      <c r="O76" s="57">
        <f t="shared" si="5"/>
        <v>8</v>
      </c>
      <c r="P76" s="58">
        <f ca="1" t="shared" si="6"/>
        <v>2021</v>
      </c>
      <c r="R76" s="56">
        <f t="shared" si="7"/>
        <v>8</v>
      </c>
      <c r="S76" s="57" t="str">
        <f t="shared" si="8"/>
        <v/>
      </c>
      <c r="T76" s="58" t="str">
        <f t="shared" si="9"/>
        <v/>
      </c>
    </row>
    <row r="77" spans="2:20" s="7" customFormat="1" ht="12.75">
      <c r="B77" s="42"/>
      <c r="C77" s="89">
        <f t="shared" si="1"/>
        <v>36</v>
      </c>
      <c r="D77" s="90">
        <f ca="1" t="shared" si="0"/>
        <v>44440</v>
      </c>
      <c r="E77" s="71">
        <f t="shared" si="2"/>
        <v>93734.01</v>
      </c>
      <c r="F77" s="71">
        <f>IF(E77="","",IF(Annuitätenrechner!$F$37&gt;=E77,E77+ROUND(E77*Annuitätenrechner!$E$21/Annuitätenrechner!$O$27,2),Annuitätenrechner!$F$37))</f>
        <v>583.33</v>
      </c>
      <c r="G77" s="71">
        <f>IF(E77="","",+ROUND(E77*Annuitätenrechner!$E$21/Annuitätenrechner!$O$27,2))</f>
        <v>390.56</v>
      </c>
      <c r="H77" s="71">
        <f>IF(E77="","",IF(Annuitätenrechner!$F$37-G77&lt;=E77,Annuitätenrechner!$F$37-G77,E77))</f>
        <v>192.77000000000004</v>
      </c>
      <c r="I77" s="91">
        <f t="shared" si="3"/>
        <v>93541.23999999999</v>
      </c>
      <c r="J77" s="41"/>
      <c r="N77" s="56">
        <f ca="1" t="shared" si="4"/>
        <v>1</v>
      </c>
      <c r="O77" s="57">
        <f t="shared" si="5"/>
        <v>9</v>
      </c>
      <c r="P77" s="58">
        <f ca="1" t="shared" si="6"/>
        <v>2021</v>
      </c>
      <c r="R77" s="56">
        <f t="shared" si="7"/>
        <v>9</v>
      </c>
      <c r="S77" s="57" t="str">
        <f t="shared" si="8"/>
        <v/>
      </c>
      <c r="T77" s="58" t="str">
        <f t="shared" si="9"/>
        <v/>
      </c>
    </row>
    <row r="78" spans="2:20" s="7" customFormat="1" ht="12.75">
      <c r="B78" s="42"/>
      <c r="C78" s="89">
        <f t="shared" si="1"/>
        <v>37</v>
      </c>
      <c r="D78" s="90">
        <f ca="1" t="shared" si="0"/>
        <v>44470</v>
      </c>
      <c r="E78" s="71">
        <f t="shared" si="2"/>
        <v>93541.23999999999</v>
      </c>
      <c r="F78" s="71">
        <f>IF(E78="","",IF(Annuitätenrechner!$F$37&gt;=E78,E78+ROUND(E78*Annuitätenrechner!$E$21/Annuitätenrechner!$O$27,2),Annuitätenrechner!$F$37))</f>
        <v>583.33</v>
      </c>
      <c r="G78" s="71">
        <f>IF(E78="","",+ROUND(E78*Annuitätenrechner!$E$21/Annuitätenrechner!$O$27,2))</f>
        <v>389.76</v>
      </c>
      <c r="H78" s="71">
        <f>IF(E78="","",IF(Annuitätenrechner!$F$37-G78&lt;=E78,Annuitätenrechner!$F$37-G78,E78))</f>
        <v>193.57000000000005</v>
      </c>
      <c r="I78" s="91">
        <f t="shared" si="3"/>
        <v>93347.66999999998</v>
      </c>
      <c r="J78" s="41"/>
      <c r="N78" s="56">
        <f ca="1" t="shared" si="4"/>
        <v>1</v>
      </c>
      <c r="O78" s="57">
        <f t="shared" si="5"/>
        <v>10</v>
      </c>
      <c r="P78" s="58">
        <f ca="1" t="shared" si="6"/>
        <v>2021</v>
      </c>
      <c r="R78" s="56">
        <f t="shared" si="7"/>
        <v>10</v>
      </c>
      <c r="S78" s="57" t="str">
        <f t="shared" si="8"/>
        <v/>
      </c>
      <c r="T78" s="58" t="str">
        <f t="shared" si="9"/>
        <v/>
      </c>
    </row>
    <row r="79" spans="2:20" s="7" customFormat="1" ht="12.75">
      <c r="B79" s="42"/>
      <c r="C79" s="89">
        <f t="shared" si="1"/>
        <v>38</v>
      </c>
      <c r="D79" s="90">
        <f ca="1" t="shared" si="0"/>
        <v>44501</v>
      </c>
      <c r="E79" s="71">
        <f t="shared" si="2"/>
        <v>93347.66999999998</v>
      </c>
      <c r="F79" s="71">
        <f>IF(E79="","",IF(Annuitätenrechner!$F$37&gt;=E79,E79+ROUND(E79*Annuitätenrechner!$E$21/Annuitätenrechner!$O$27,2),Annuitätenrechner!$F$37))</f>
        <v>583.33</v>
      </c>
      <c r="G79" s="71">
        <f>IF(E79="","",+ROUND(E79*Annuitätenrechner!$E$21/Annuitätenrechner!$O$27,2))</f>
        <v>388.95</v>
      </c>
      <c r="H79" s="71">
        <f>IF(E79="","",IF(Annuitätenrechner!$F$37-G79&lt;=E79,Annuitätenrechner!$F$37-G79,E79))</f>
        <v>194.38000000000005</v>
      </c>
      <c r="I79" s="91">
        <f t="shared" si="3"/>
        <v>93153.28999999998</v>
      </c>
      <c r="J79" s="41"/>
      <c r="N79" s="56">
        <f ca="1" t="shared" si="4"/>
        <v>1</v>
      </c>
      <c r="O79" s="57">
        <f t="shared" si="5"/>
        <v>11</v>
      </c>
      <c r="P79" s="58">
        <f ca="1" t="shared" si="6"/>
        <v>2021</v>
      </c>
      <c r="R79" s="56">
        <f t="shared" si="7"/>
        <v>11</v>
      </c>
      <c r="S79" s="57" t="str">
        <f t="shared" si="8"/>
        <v/>
      </c>
      <c r="T79" s="58" t="str">
        <f t="shared" si="9"/>
        <v/>
      </c>
    </row>
    <row r="80" spans="2:20" s="7" customFormat="1" ht="12.75">
      <c r="B80" s="42"/>
      <c r="C80" s="89">
        <f t="shared" si="1"/>
        <v>39</v>
      </c>
      <c r="D80" s="90">
        <f ca="1" t="shared" si="0"/>
        <v>44531</v>
      </c>
      <c r="E80" s="71">
        <f t="shared" si="2"/>
        <v>93153.28999999998</v>
      </c>
      <c r="F80" s="71">
        <f>IF(E80="","",IF(Annuitätenrechner!$F$37&gt;=E80,E80+ROUND(E80*Annuitätenrechner!$E$21/Annuitätenrechner!$O$27,2),Annuitätenrechner!$F$37))</f>
        <v>583.33</v>
      </c>
      <c r="G80" s="71">
        <f>IF(E80="","",+ROUND(E80*Annuitätenrechner!$E$21/Annuitätenrechner!$O$27,2))</f>
        <v>388.14</v>
      </c>
      <c r="H80" s="71">
        <f>IF(E80="","",IF(Annuitätenrechner!$F$37-G80&lt;=E80,Annuitätenrechner!$F$37-G80,E80))</f>
        <v>195.19000000000005</v>
      </c>
      <c r="I80" s="91">
        <f t="shared" si="3"/>
        <v>92958.09999999998</v>
      </c>
      <c r="J80" s="41"/>
      <c r="N80" s="56">
        <f ca="1" t="shared" si="4"/>
        <v>1</v>
      </c>
      <c r="O80" s="57">
        <f t="shared" si="5"/>
        <v>12</v>
      </c>
      <c r="P80" s="58">
        <f ca="1" t="shared" si="6"/>
        <v>2021</v>
      </c>
      <c r="R80" s="56">
        <f t="shared" si="7"/>
        <v>12</v>
      </c>
      <c r="S80" s="57" t="str">
        <f t="shared" si="8"/>
        <v/>
      </c>
      <c r="T80" s="58" t="str">
        <f t="shared" si="9"/>
        <v/>
      </c>
    </row>
    <row r="81" spans="2:20" s="7" customFormat="1" ht="12.75">
      <c r="B81" s="42"/>
      <c r="C81" s="89">
        <f t="shared" si="1"/>
        <v>40</v>
      </c>
      <c r="D81" s="90">
        <f ca="1" t="shared" si="0"/>
        <v>44562</v>
      </c>
      <c r="E81" s="71">
        <f t="shared" si="2"/>
        <v>92958.09999999998</v>
      </c>
      <c r="F81" s="71">
        <f>IF(E81="","",IF(Annuitätenrechner!$F$37&gt;=E81,E81+ROUND(E81*Annuitätenrechner!$E$21/Annuitätenrechner!$O$27,2),Annuitätenrechner!$F$37))</f>
        <v>583.33</v>
      </c>
      <c r="G81" s="71">
        <f>IF(E81="","",+ROUND(E81*Annuitätenrechner!$E$21/Annuitätenrechner!$O$27,2))</f>
        <v>387.33</v>
      </c>
      <c r="H81" s="71">
        <f>IF(E81="","",IF(Annuitätenrechner!$F$37-G81&lt;=E81,Annuitätenrechner!$F$37-G81,E81))</f>
        <v>196.00000000000006</v>
      </c>
      <c r="I81" s="91">
        <f t="shared" si="3"/>
        <v>92762.09999999998</v>
      </c>
      <c r="J81" s="41"/>
      <c r="N81" s="56">
        <f ca="1" t="shared" si="4"/>
        <v>1</v>
      </c>
      <c r="O81" s="57">
        <f t="shared" si="5"/>
        <v>1</v>
      </c>
      <c r="P81" s="58">
        <f ca="1" t="shared" si="6"/>
        <v>2022</v>
      </c>
      <c r="R81" s="56">
        <f t="shared" si="7"/>
        <v>1</v>
      </c>
      <c r="S81" s="57" t="str">
        <f t="shared" si="8"/>
        <v/>
      </c>
      <c r="T81" s="58" t="str">
        <f t="shared" si="9"/>
        <v/>
      </c>
    </row>
    <row r="82" spans="2:20" s="7" customFormat="1" ht="12.75">
      <c r="B82" s="42"/>
      <c r="C82" s="89">
        <f t="shared" si="1"/>
        <v>41</v>
      </c>
      <c r="D82" s="90">
        <f ca="1" t="shared" si="0"/>
        <v>44593</v>
      </c>
      <c r="E82" s="71">
        <f t="shared" si="2"/>
        <v>92762.09999999998</v>
      </c>
      <c r="F82" s="71">
        <f>IF(E82="","",IF(Annuitätenrechner!$F$37&gt;=E82,E82+ROUND(E82*Annuitätenrechner!$E$21/Annuitätenrechner!$O$27,2),Annuitätenrechner!$F$37))</f>
        <v>583.33</v>
      </c>
      <c r="G82" s="71">
        <f>IF(E82="","",+ROUND(E82*Annuitätenrechner!$E$21/Annuitätenrechner!$O$27,2))</f>
        <v>386.51</v>
      </c>
      <c r="H82" s="71">
        <f>IF(E82="","",IF(Annuitätenrechner!$F$37-G82&lt;=E82,Annuitätenrechner!$F$37-G82,E82))</f>
        <v>196.82000000000005</v>
      </c>
      <c r="I82" s="91">
        <f t="shared" si="3"/>
        <v>92565.27999999997</v>
      </c>
      <c r="J82" s="41"/>
      <c r="N82" s="56">
        <f ca="1" t="shared" si="4"/>
        <v>1</v>
      </c>
      <c r="O82" s="57">
        <f t="shared" si="5"/>
        <v>2</v>
      </c>
      <c r="P82" s="58">
        <f ca="1" t="shared" si="6"/>
        <v>2022</v>
      </c>
      <c r="R82" s="56">
        <f t="shared" si="7"/>
        <v>2</v>
      </c>
      <c r="S82" s="57" t="str">
        <f t="shared" si="8"/>
        <v/>
      </c>
      <c r="T82" s="58" t="str">
        <f t="shared" si="9"/>
        <v/>
      </c>
    </row>
    <row r="83" spans="2:20" s="7" customFormat="1" ht="12.75">
      <c r="B83" s="42"/>
      <c r="C83" s="89">
        <f t="shared" si="1"/>
        <v>42</v>
      </c>
      <c r="D83" s="90">
        <f ca="1" t="shared" si="0"/>
        <v>44621</v>
      </c>
      <c r="E83" s="71">
        <f t="shared" si="2"/>
        <v>92565.27999999997</v>
      </c>
      <c r="F83" s="71">
        <f>IF(E83="","",IF(Annuitätenrechner!$F$37&gt;=E83,E83+ROUND(E83*Annuitätenrechner!$E$21/Annuitätenrechner!$O$27,2),Annuitätenrechner!$F$37))</f>
        <v>583.33</v>
      </c>
      <c r="G83" s="71">
        <f>IF(E83="","",+ROUND(E83*Annuitätenrechner!$E$21/Annuitätenrechner!$O$27,2))</f>
        <v>385.69</v>
      </c>
      <c r="H83" s="71">
        <f>IF(E83="","",IF(Annuitätenrechner!$F$37-G83&lt;=E83,Annuitätenrechner!$F$37-G83,E83))</f>
        <v>197.64000000000004</v>
      </c>
      <c r="I83" s="91">
        <f t="shared" si="3"/>
        <v>92367.63999999997</v>
      </c>
      <c r="J83" s="41"/>
      <c r="N83" s="56">
        <f ca="1" t="shared" si="4"/>
        <v>1</v>
      </c>
      <c r="O83" s="57">
        <f t="shared" si="5"/>
        <v>3</v>
      </c>
      <c r="P83" s="58">
        <f ca="1" t="shared" si="6"/>
        <v>2022</v>
      </c>
      <c r="R83" s="56">
        <f t="shared" si="7"/>
        <v>3</v>
      </c>
      <c r="S83" s="57" t="str">
        <f t="shared" si="8"/>
        <v/>
      </c>
      <c r="T83" s="58" t="str">
        <f t="shared" si="9"/>
        <v/>
      </c>
    </row>
    <row r="84" spans="2:20" s="7" customFormat="1" ht="12.75">
      <c r="B84" s="42"/>
      <c r="C84" s="89">
        <f t="shared" si="1"/>
        <v>43</v>
      </c>
      <c r="D84" s="90">
        <f ca="1" t="shared" si="0"/>
        <v>44652</v>
      </c>
      <c r="E84" s="71">
        <f t="shared" si="2"/>
        <v>92367.63999999997</v>
      </c>
      <c r="F84" s="71">
        <f>IF(E84="","",IF(Annuitätenrechner!$F$37&gt;=E84,E84+ROUND(E84*Annuitätenrechner!$E$21/Annuitätenrechner!$O$27,2),Annuitätenrechner!$F$37))</f>
        <v>583.33</v>
      </c>
      <c r="G84" s="71">
        <f>IF(E84="","",+ROUND(E84*Annuitätenrechner!$E$21/Annuitätenrechner!$O$27,2))</f>
        <v>384.87</v>
      </c>
      <c r="H84" s="71">
        <f>IF(E84="","",IF(Annuitätenrechner!$F$37-G84&lt;=E84,Annuitätenrechner!$F$37-G84,E84))</f>
        <v>198.46000000000004</v>
      </c>
      <c r="I84" s="91">
        <f t="shared" si="3"/>
        <v>92169.17999999996</v>
      </c>
      <c r="J84" s="41"/>
      <c r="N84" s="56">
        <f ca="1" t="shared" si="4"/>
        <v>1</v>
      </c>
      <c r="O84" s="57">
        <f t="shared" si="5"/>
        <v>4</v>
      </c>
      <c r="P84" s="58">
        <f ca="1" t="shared" si="6"/>
        <v>2022</v>
      </c>
      <c r="R84" s="56">
        <f t="shared" si="7"/>
        <v>4</v>
      </c>
      <c r="S84" s="57" t="str">
        <f t="shared" si="8"/>
        <v/>
      </c>
      <c r="T84" s="58" t="str">
        <f t="shared" si="9"/>
        <v/>
      </c>
    </row>
    <row r="85" spans="2:20" s="7" customFormat="1" ht="12.75">
      <c r="B85" s="42"/>
      <c r="C85" s="89">
        <f t="shared" si="1"/>
        <v>44</v>
      </c>
      <c r="D85" s="90">
        <f ca="1" t="shared" si="0"/>
        <v>44682</v>
      </c>
      <c r="E85" s="71">
        <f t="shared" si="2"/>
        <v>92169.17999999996</v>
      </c>
      <c r="F85" s="71">
        <f>IF(E85="","",IF(Annuitätenrechner!$F$37&gt;=E85,E85+ROUND(E85*Annuitätenrechner!$E$21/Annuitätenrechner!$O$27,2),Annuitätenrechner!$F$37))</f>
        <v>583.33</v>
      </c>
      <c r="G85" s="71">
        <f>IF(E85="","",+ROUND(E85*Annuitätenrechner!$E$21/Annuitätenrechner!$O$27,2))</f>
        <v>384.04</v>
      </c>
      <c r="H85" s="71">
        <f>IF(E85="","",IF(Annuitätenrechner!$F$37-G85&lt;=E85,Annuitätenrechner!$F$37-G85,E85))</f>
        <v>199.29000000000002</v>
      </c>
      <c r="I85" s="91">
        <f t="shared" si="3"/>
        <v>91969.88999999997</v>
      </c>
      <c r="J85" s="41"/>
      <c r="N85" s="56">
        <f ca="1" t="shared" si="4"/>
        <v>1</v>
      </c>
      <c r="O85" s="57">
        <f t="shared" si="5"/>
        <v>5</v>
      </c>
      <c r="P85" s="58">
        <f ca="1" t="shared" si="6"/>
        <v>2022</v>
      </c>
      <c r="R85" s="56">
        <f t="shared" si="7"/>
        <v>5</v>
      </c>
      <c r="S85" s="57" t="str">
        <f t="shared" si="8"/>
        <v/>
      </c>
      <c r="T85" s="58" t="str">
        <f t="shared" si="9"/>
        <v/>
      </c>
    </row>
    <row r="86" spans="2:20" s="7" customFormat="1" ht="12.75">
      <c r="B86" s="42"/>
      <c r="C86" s="89">
        <f t="shared" si="1"/>
        <v>45</v>
      </c>
      <c r="D86" s="90">
        <f ca="1" t="shared" si="0"/>
        <v>44713</v>
      </c>
      <c r="E86" s="71">
        <f t="shared" si="2"/>
        <v>91969.88999999997</v>
      </c>
      <c r="F86" s="71">
        <f>IF(E86="","",IF(Annuitätenrechner!$F$37&gt;=E86,E86+ROUND(E86*Annuitätenrechner!$E$21/Annuitätenrechner!$O$27,2),Annuitätenrechner!$F$37))</f>
        <v>583.33</v>
      </c>
      <c r="G86" s="71">
        <f>IF(E86="","",+ROUND(E86*Annuitätenrechner!$E$21/Annuitätenrechner!$O$27,2))</f>
        <v>383.21</v>
      </c>
      <c r="H86" s="71">
        <f>IF(E86="","",IF(Annuitätenrechner!$F$37-G86&lt;=E86,Annuitätenrechner!$F$37-G86,E86))</f>
        <v>200.12000000000006</v>
      </c>
      <c r="I86" s="91">
        <f t="shared" si="3"/>
        <v>91769.76999999997</v>
      </c>
      <c r="J86" s="41"/>
      <c r="N86" s="56">
        <f ca="1" t="shared" si="4"/>
        <v>1</v>
      </c>
      <c r="O86" s="57">
        <f t="shared" si="5"/>
        <v>6</v>
      </c>
      <c r="P86" s="58">
        <f ca="1" t="shared" si="6"/>
        <v>2022</v>
      </c>
      <c r="R86" s="56">
        <f t="shared" si="7"/>
        <v>6</v>
      </c>
      <c r="S86" s="57" t="str">
        <f t="shared" si="8"/>
        <v/>
      </c>
      <c r="T86" s="58" t="str">
        <f t="shared" si="9"/>
        <v/>
      </c>
    </row>
    <row r="87" spans="2:20" s="7" customFormat="1" ht="12.75">
      <c r="B87" s="42"/>
      <c r="C87" s="89">
        <f t="shared" si="1"/>
        <v>46</v>
      </c>
      <c r="D87" s="90">
        <f ca="1" t="shared" si="0"/>
        <v>44743</v>
      </c>
      <c r="E87" s="71">
        <f t="shared" si="2"/>
        <v>91769.76999999997</v>
      </c>
      <c r="F87" s="71">
        <f>IF(E87="","",IF(Annuitätenrechner!$F$37&gt;=E87,E87+ROUND(E87*Annuitätenrechner!$E$21/Annuitätenrechner!$O$27,2),Annuitätenrechner!$F$37))</f>
        <v>583.33</v>
      </c>
      <c r="G87" s="71">
        <f>IF(E87="","",+ROUND(E87*Annuitätenrechner!$E$21/Annuitätenrechner!$O$27,2))</f>
        <v>382.37</v>
      </c>
      <c r="H87" s="71">
        <f>IF(E87="","",IF(Annuitätenrechner!$F$37-G87&lt;=E87,Annuitätenrechner!$F$37-G87,E87))</f>
        <v>200.96000000000004</v>
      </c>
      <c r="I87" s="91">
        <f t="shared" si="3"/>
        <v>91568.80999999997</v>
      </c>
      <c r="J87" s="41"/>
      <c r="N87" s="56">
        <f ca="1" t="shared" si="4"/>
        <v>1</v>
      </c>
      <c r="O87" s="57">
        <f t="shared" si="5"/>
        <v>7</v>
      </c>
      <c r="P87" s="58">
        <f ca="1" t="shared" si="6"/>
        <v>2022</v>
      </c>
      <c r="R87" s="56">
        <f t="shared" si="7"/>
        <v>7</v>
      </c>
      <c r="S87" s="57" t="str">
        <f t="shared" si="8"/>
        <v/>
      </c>
      <c r="T87" s="58" t="str">
        <f t="shared" si="9"/>
        <v/>
      </c>
    </row>
    <row r="88" spans="2:20" s="7" customFormat="1" ht="12.75">
      <c r="B88" s="42"/>
      <c r="C88" s="89">
        <f t="shared" si="1"/>
        <v>47</v>
      </c>
      <c r="D88" s="90">
        <f ca="1" t="shared" si="0"/>
        <v>44774</v>
      </c>
      <c r="E88" s="71">
        <f t="shared" si="2"/>
        <v>91568.80999999997</v>
      </c>
      <c r="F88" s="71">
        <f>IF(E88="","",IF(Annuitätenrechner!$F$37&gt;=E88,E88+ROUND(E88*Annuitätenrechner!$E$21/Annuitätenrechner!$O$27,2),Annuitätenrechner!$F$37))</f>
        <v>583.33</v>
      </c>
      <c r="G88" s="71">
        <f>IF(E88="","",+ROUND(E88*Annuitätenrechner!$E$21/Annuitätenrechner!$O$27,2))</f>
        <v>381.54</v>
      </c>
      <c r="H88" s="71">
        <f>IF(E88="","",IF(Annuitätenrechner!$F$37-G88&lt;=E88,Annuitätenrechner!$F$37-G88,E88))</f>
        <v>201.79000000000002</v>
      </c>
      <c r="I88" s="91">
        <f t="shared" si="3"/>
        <v>91367.01999999997</v>
      </c>
      <c r="J88" s="41"/>
      <c r="N88" s="56">
        <f ca="1" t="shared" si="4"/>
        <v>1</v>
      </c>
      <c r="O88" s="57">
        <f t="shared" si="5"/>
        <v>8</v>
      </c>
      <c r="P88" s="58">
        <f ca="1" t="shared" si="6"/>
        <v>2022</v>
      </c>
      <c r="R88" s="56">
        <f t="shared" si="7"/>
        <v>8</v>
      </c>
      <c r="S88" s="57" t="str">
        <f t="shared" si="8"/>
        <v/>
      </c>
      <c r="T88" s="58" t="str">
        <f t="shared" si="9"/>
        <v/>
      </c>
    </row>
    <row r="89" spans="2:20" s="7" customFormat="1" ht="12.75">
      <c r="B89" s="42"/>
      <c r="C89" s="89">
        <f t="shared" si="1"/>
        <v>48</v>
      </c>
      <c r="D89" s="90">
        <f ca="1" t="shared" si="0"/>
        <v>44805</v>
      </c>
      <c r="E89" s="71">
        <f t="shared" si="2"/>
        <v>91367.01999999997</v>
      </c>
      <c r="F89" s="71">
        <f>IF(E89="","",IF(Annuitätenrechner!$F$37&gt;=E89,E89+ROUND(E89*Annuitätenrechner!$E$21/Annuitätenrechner!$O$27,2),Annuitätenrechner!$F$37))</f>
        <v>583.33</v>
      </c>
      <c r="G89" s="71">
        <f>IF(E89="","",+ROUND(E89*Annuitätenrechner!$E$21/Annuitätenrechner!$O$27,2))</f>
        <v>380.7</v>
      </c>
      <c r="H89" s="71">
        <f>IF(E89="","",IF(Annuitätenrechner!$F$37-G89&lt;=E89,Annuitätenrechner!$F$37-G89,E89))</f>
        <v>202.63000000000005</v>
      </c>
      <c r="I89" s="91">
        <f t="shared" si="3"/>
        <v>91164.38999999997</v>
      </c>
      <c r="J89" s="41"/>
      <c r="N89" s="56">
        <f ca="1" t="shared" si="4"/>
        <v>1</v>
      </c>
      <c r="O89" s="57">
        <f t="shared" si="5"/>
        <v>9</v>
      </c>
      <c r="P89" s="58">
        <f ca="1" t="shared" si="6"/>
        <v>2022</v>
      </c>
      <c r="R89" s="56">
        <f t="shared" si="7"/>
        <v>9</v>
      </c>
      <c r="S89" s="57" t="str">
        <f t="shared" si="8"/>
        <v/>
      </c>
      <c r="T89" s="58" t="str">
        <f t="shared" si="9"/>
        <v/>
      </c>
    </row>
    <row r="90" spans="2:20" s="7" customFormat="1" ht="12.75">
      <c r="B90" s="42"/>
      <c r="C90" s="89">
        <f t="shared" si="1"/>
        <v>49</v>
      </c>
      <c r="D90" s="90">
        <f ca="1" t="shared" si="0"/>
        <v>44835</v>
      </c>
      <c r="E90" s="71">
        <f t="shared" si="2"/>
        <v>91164.38999999997</v>
      </c>
      <c r="F90" s="71">
        <f>IF(E90="","",IF(Annuitätenrechner!$F$37&gt;=E90,E90+ROUND(E90*Annuitätenrechner!$E$21/Annuitätenrechner!$O$27,2),Annuitätenrechner!$F$37))</f>
        <v>583.33</v>
      </c>
      <c r="G90" s="71">
        <f>IF(E90="","",+ROUND(E90*Annuitätenrechner!$E$21/Annuitätenrechner!$O$27,2))</f>
        <v>379.85</v>
      </c>
      <c r="H90" s="71">
        <f>IF(E90="","",IF(Annuitätenrechner!$F$37-G90&lt;=E90,Annuitätenrechner!$F$37-G90,E90))</f>
        <v>203.48000000000002</v>
      </c>
      <c r="I90" s="91">
        <f t="shared" si="3"/>
        <v>90960.90999999997</v>
      </c>
      <c r="J90" s="41"/>
      <c r="N90" s="56">
        <f ca="1" t="shared" si="4"/>
        <v>1</v>
      </c>
      <c r="O90" s="57">
        <f t="shared" si="5"/>
        <v>10</v>
      </c>
      <c r="P90" s="58">
        <f ca="1" t="shared" si="6"/>
        <v>2022</v>
      </c>
      <c r="R90" s="56">
        <f t="shared" si="7"/>
        <v>10</v>
      </c>
      <c r="S90" s="57" t="str">
        <f t="shared" si="8"/>
        <v/>
      </c>
      <c r="T90" s="58" t="str">
        <f t="shared" si="9"/>
        <v/>
      </c>
    </row>
    <row r="91" spans="2:20" s="7" customFormat="1" ht="12.75">
      <c r="B91" s="42"/>
      <c r="C91" s="89">
        <f t="shared" si="1"/>
        <v>50</v>
      </c>
      <c r="D91" s="90">
        <f ca="1" t="shared" si="0"/>
        <v>44866</v>
      </c>
      <c r="E91" s="71">
        <f t="shared" si="2"/>
        <v>90960.90999999997</v>
      </c>
      <c r="F91" s="71">
        <f>IF(E91="","",IF(Annuitätenrechner!$F$37&gt;=E91,E91+ROUND(E91*Annuitätenrechner!$E$21/Annuitätenrechner!$O$27,2),Annuitätenrechner!$F$37))</f>
        <v>583.33</v>
      </c>
      <c r="G91" s="71">
        <f>IF(E91="","",+ROUND(E91*Annuitätenrechner!$E$21/Annuitätenrechner!$O$27,2))</f>
        <v>379</v>
      </c>
      <c r="H91" s="71">
        <f>IF(E91="","",IF(Annuitätenrechner!$F$37-G91&lt;=E91,Annuitätenrechner!$F$37-G91,E91))</f>
        <v>204.33000000000004</v>
      </c>
      <c r="I91" s="91">
        <f t="shared" si="3"/>
        <v>90756.57999999997</v>
      </c>
      <c r="J91" s="41"/>
      <c r="N91" s="56">
        <f ca="1" t="shared" si="4"/>
        <v>1</v>
      </c>
      <c r="O91" s="57">
        <f t="shared" si="5"/>
        <v>11</v>
      </c>
      <c r="P91" s="58">
        <f ca="1" t="shared" si="6"/>
        <v>2022</v>
      </c>
      <c r="R91" s="56">
        <f t="shared" si="7"/>
        <v>11</v>
      </c>
      <c r="S91" s="57" t="str">
        <f t="shared" si="8"/>
        <v/>
      </c>
      <c r="T91" s="58" t="str">
        <f t="shared" si="9"/>
        <v/>
      </c>
    </row>
    <row r="92" spans="2:20" s="7" customFormat="1" ht="12.75">
      <c r="B92" s="42"/>
      <c r="C92" s="89">
        <f t="shared" si="1"/>
        <v>51</v>
      </c>
      <c r="D92" s="90">
        <f ca="1" t="shared" si="0"/>
        <v>44896</v>
      </c>
      <c r="E92" s="71">
        <f t="shared" si="2"/>
        <v>90756.57999999997</v>
      </c>
      <c r="F92" s="71">
        <f>IF(E92="","",IF(Annuitätenrechner!$F$37&gt;=E92,E92+ROUND(E92*Annuitätenrechner!$E$21/Annuitätenrechner!$O$27,2),Annuitätenrechner!$F$37))</f>
        <v>583.33</v>
      </c>
      <c r="G92" s="71">
        <f>IF(E92="","",+ROUND(E92*Annuitätenrechner!$E$21/Annuitätenrechner!$O$27,2))</f>
        <v>378.15</v>
      </c>
      <c r="H92" s="71">
        <f>IF(E92="","",IF(Annuitätenrechner!$F$37-G92&lt;=E92,Annuitätenrechner!$F$37-G92,E92))</f>
        <v>205.18000000000006</v>
      </c>
      <c r="I92" s="91">
        <f t="shared" si="3"/>
        <v>90551.39999999998</v>
      </c>
      <c r="J92" s="41"/>
      <c r="N92" s="56">
        <f ca="1" t="shared" si="4"/>
        <v>1</v>
      </c>
      <c r="O92" s="57">
        <f t="shared" si="5"/>
        <v>12</v>
      </c>
      <c r="P92" s="58">
        <f ca="1" t="shared" si="6"/>
        <v>2022</v>
      </c>
      <c r="R92" s="56">
        <f t="shared" si="7"/>
        <v>12</v>
      </c>
      <c r="S92" s="57" t="str">
        <f t="shared" si="8"/>
        <v/>
      </c>
      <c r="T92" s="58" t="str">
        <f t="shared" si="9"/>
        <v/>
      </c>
    </row>
    <row r="93" spans="2:20" s="7" customFormat="1" ht="12.75">
      <c r="B93" s="42"/>
      <c r="C93" s="89">
        <f t="shared" si="1"/>
        <v>52</v>
      </c>
      <c r="D93" s="90">
        <f ca="1" t="shared" si="0"/>
        <v>44927</v>
      </c>
      <c r="E93" s="71">
        <f t="shared" si="2"/>
        <v>90551.39999999998</v>
      </c>
      <c r="F93" s="71">
        <f>IF(E93="","",IF(Annuitätenrechner!$F$37&gt;=E93,E93+ROUND(E93*Annuitätenrechner!$E$21/Annuitätenrechner!$O$27,2),Annuitätenrechner!$F$37))</f>
        <v>583.33</v>
      </c>
      <c r="G93" s="71">
        <f>IF(E93="","",+ROUND(E93*Annuitätenrechner!$E$21/Annuitätenrechner!$O$27,2))</f>
        <v>377.3</v>
      </c>
      <c r="H93" s="71">
        <f>IF(E93="","",IF(Annuitätenrechner!$F$37-G93&lt;=E93,Annuitätenrechner!$F$37-G93,E93))</f>
        <v>206.03000000000003</v>
      </c>
      <c r="I93" s="91">
        <f t="shared" si="3"/>
        <v>90345.36999999998</v>
      </c>
      <c r="J93" s="41"/>
      <c r="N93" s="56">
        <f ca="1" t="shared" si="4"/>
        <v>1</v>
      </c>
      <c r="O93" s="57">
        <f t="shared" si="5"/>
        <v>1</v>
      </c>
      <c r="P93" s="58">
        <f ca="1" t="shared" si="6"/>
        <v>2023</v>
      </c>
      <c r="R93" s="56">
        <f t="shared" si="7"/>
        <v>1</v>
      </c>
      <c r="S93" s="57" t="str">
        <f t="shared" si="8"/>
        <v/>
      </c>
      <c r="T93" s="58" t="str">
        <f t="shared" si="9"/>
        <v/>
      </c>
    </row>
    <row r="94" spans="2:20" s="7" customFormat="1" ht="12.75">
      <c r="B94" s="42"/>
      <c r="C94" s="89">
        <f t="shared" si="1"/>
        <v>53</v>
      </c>
      <c r="D94" s="90">
        <f ca="1" t="shared" si="0"/>
        <v>44958</v>
      </c>
      <c r="E94" s="71">
        <f t="shared" si="2"/>
        <v>90345.36999999998</v>
      </c>
      <c r="F94" s="71">
        <f>IF(E94="","",IF(Annuitätenrechner!$F$37&gt;=E94,E94+ROUND(E94*Annuitätenrechner!$E$21/Annuitätenrechner!$O$27,2),Annuitätenrechner!$F$37))</f>
        <v>583.33</v>
      </c>
      <c r="G94" s="71">
        <f>IF(E94="","",+ROUND(E94*Annuitätenrechner!$E$21/Annuitätenrechner!$O$27,2))</f>
        <v>376.44</v>
      </c>
      <c r="H94" s="71">
        <f>IF(E94="","",IF(Annuitätenrechner!$F$37-G94&lt;=E94,Annuitätenrechner!$F$37-G94,E94))</f>
        <v>206.89000000000004</v>
      </c>
      <c r="I94" s="91">
        <f t="shared" si="3"/>
        <v>90138.47999999998</v>
      </c>
      <c r="J94" s="41"/>
      <c r="N94" s="56">
        <f ca="1" t="shared" si="4"/>
        <v>1</v>
      </c>
      <c r="O94" s="57">
        <f t="shared" si="5"/>
        <v>2</v>
      </c>
      <c r="P94" s="58">
        <f ca="1" t="shared" si="6"/>
        <v>2023</v>
      </c>
      <c r="R94" s="56">
        <f t="shared" si="7"/>
        <v>2</v>
      </c>
      <c r="S94" s="57" t="str">
        <f t="shared" si="8"/>
        <v/>
      </c>
      <c r="T94" s="58" t="str">
        <f t="shared" si="9"/>
        <v/>
      </c>
    </row>
    <row r="95" spans="2:20" s="7" customFormat="1" ht="12.75">
      <c r="B95" s="42"/>
      <c r="C95" s="89">
        <f t="shared" si="1"/>
        <v>54</v>
      </c>
      <c r="D95" s="90">
        <f ca="1" t="shared" si="0"/>
        <v>44986</v>
      </c>
      <c r="E95" s="71">
        <f t="shared" si="2"/>
        <v>90138.47999999998</v>
      </c>
      <c r="F95" s="71">
        <f>IF(E95="","",IF(Annuitätenrechner!$F$37&gt;=E95,E95+ROUND(E95*Annuitätenrechner!$E$21/Annuitätenrechner!$O$27,2),Annuitätenrechner!$F$37))</f>
        <v>583.33</v>
      </c>
      <c r="G95" s="71">
        <f>IF(E95="","",+ROUND(E95*Annuitätenrechner!$E$21/Annuitätenrechner!$O$27,2))</f>
        <v>375.58</v>
      </c>
      <c r="H95" s="71">
        <f>IF(E95="","",IF(Annuitätenrechner!$F$37-G95&lt;=E95,Annuitätenrechner!$F$37-G95,E95))</f>
        <v>207.75000000000006</v>
      </c>
      <c r="I95" s="91">
        <f t="shared" si="3"/>
        <v>89930.72999999998</v>
      </c>
      <c r="J95" s="41"/>
      <c r="N95" s="56">
        <f ca="1" t="shared" si="4"/>
        <v>1</v>
      </c>
      <c r="O95" s="57">
        <f t="shared" si="5"/>
        <v>3</v>
      </c>
      <c r="P95" s="58">
        <f ca="1" t="shared" si="6"/>
        <v>2023</v>
      </c>
      <c r="R95" s="56">
        <f t="shared" si="7"/>
        <v>3</v>
      </c>
      <c r="S95" s="57" t="str">
        <f t="shared" si="8"/>
        <v/>
      </c>
      <c r="T95" s="58" t="str">
        <f t="shared" si="9"/>
        <v/>
      </c>
    </row>
    <row r="96" spans="2:20" s="7" customFormat="1" ht="12.75">
      <c r="B96" s="42"/>
      <c r="C96" s="89">
        <f t="shared" si="1"/>
        <v>55</v>
      </c>
      <c r="D96" s="90">
        <f ca="1" t="shared" si="0"/>
        <v>45017</v>
      </c>
      <c r="E96" s="71">
        <f t="shared" si="2"/>
        <v>89930.72999999998</v>
      </c>
      <c r="F96" s="71">
        <f>IF(E96="","",IF(Annuitätenrechner!$F$37&gt;=E96,E96+ROUND(E96*Annuitätenrechner!$E$21/Annuitätenrechner!$O$27,2),Annuitätenrechner!$F$37))</f>
        <v>583.33</v>
      </c>
      <c r="G96" s="71">
        <f>IF(E96="","",+ROUND(E96*Annuitätenrechner!$E$21/Annuitätenrechner!$O$27,2))</f>
        <v>374.71</v>
      </c>
      <c r="H96" s="71">
        <f>IF(E96="","",IF(Annuitätenrechner!$F$37-G96&lt;=E96,Annuitätenrechner!$F$37-G96,E96))</f>
        <v>208.62000000000006</v>
      </c>
      <c r="I96" s="91">
        <f t="shared" si="3"/>
        <v>89722.10999999999</v>
      </c>
      <c r="J96" s="41"/>
      <c r="N96" s="56">
        <f ca="1" t="shared" si="4"/>
        <v>1</v>
      </c>
      <c r="O96" s="57">
        <f t="shared" si="5"/>
        <v>4</v>
      </c>
      <c r="P96" s="58">
        <f ca="1" t="shared" si="6"/>
        <v>2023</v>
      </c>
      <c r="R96" s="56">
        <f t="shared" si="7"/>
        <v>4</v>
      </c>
      <c r="S96" s="57" t="str">
        <f t="shared" si="8"/>
        <v/>
      </c>
      <c r="T96" s="58" t="str">
        <f t="shared" si="9"/>
        <v/>
      </c>
    </row>
    <row r="97" spans="2:20" s="7" customFormat="1" ht="12.75">
      <c r="B97" s="42"/>
      <c r="C97" s="89">
        <f t="shared" si="1"/>
        <v>56</v>
      </c>
      <c r="D97" s="90">
        <f ca="1" t="shared" si="0"/>
        <v>45047</v>
      </c>
      <c r="E97" s="71">
        <f t="shared" si="2"/>
        <v>89722.10999999999</v>
      </c>
      <c r="F97" s="71">
        <f>IF(E97="","",IF(Annuitätenrechner!$F$37&gt;=E97,E97+ROUND(E97*Annuitätenrechner!$E$21/Annuitätenrechner!$O$27,2),Annuitätenrechner!$F$37))</f>
        <v>583.33</v>
      </c>
      <c r="G97" s="71">
        <f>IF(E97="","",+ROUND(E97*Annuitätenrechner!$E$21/Annuitätenrechner!$O$27,2))</f>
        <v>373.84</v>
      </c>
      <c r="H97" s="71">
        <f>IF(E97="","",IF(Annuitätenrechner!$F$37-G97&lt;=E97,Annuitätenrechner!$F$37-G97,E97))</f>
        <v>209.49000000000007</v>
      </c>
      <c r="I97" s="91">
        <f t="shared" si="3"/>
        <v>89512.61999999998</v>
      </c>
      <c r="J97" s="41"/>
      <c r="N97" s="56">
        <f ca="1" t="shared" si="4"/>
        <v>1</v>
      </c>
      <c r="O97" s="57">
        <f t="shared" si="5"/>
        <v>5</v>
      </c>
      <c r="P97" s="58">
        <f ca="1" t="shared" si="6"/>
        <v>2023</v>
      </c>
      <c r="R97" s="56">
        <f t="shared" si="7"/>
        <v>5</v>
      </c>
      <c r="S97" s="57" t="str">
        <f t="shared" si="8"/>
        <v/>
      </c>
      <c r="T97" s="58" t="str">
        <f t="shared" si="9"/>
        <v/>
      </c>
    </row>
    <row r="98" spans="2:20" s="7" customFormat="1" ht="12.75">
      <c r="B98" s="42"/>
      <c r="C98" s="89">
        <f t="shared" si="1"/>
        <v>57</v>
      </c>
      <c r="D98" s="90">
        <f ca="1" t="shared" si="0"/>
        <v>45078</v>
      </c>
      <c r="E98" s="71">
        <f t="shared" si="2"/>
        <v>89512.61999999998</v>
      </c>
      <c r="F98" s="71">
        <f>IF(E98="","",IF(Annuitätenrechner!$F$37&gt;=E98,E98+ROUND(E98*Annuitätenrechner!$E$21/Annuitätenrechner!$O$27,2),Annuitätenrechner!$F$37))</f>
        <v>583.33</v>
      </c>
      <c r="G98" s="71">
        <f>IF(E98="","",+ROUND(E98*Annuitätenrechner!$E$21/Annuitätenrechner!$O$27,2))</f>
        <v>372.97</v>
      </c>
      <c r="H98" s="71">
        <f>IF(E98="","",IF(Annuitätenrechner!$F$37-G98&lt;=E98,Annuitätenrechner!$F$37-G98,E98))</f>
        <v>210.36</v>
      </c>
      <c r="I98" s="91">
        <f t="shared" si="3"/>
        <v>89302.25999999998</v>
      </c>
      <c r="J98" s="41"/>
      <c r="N98" s="56">
        <f ca="1" t="shared" si="4"/>
        <v>1</v>
      </c>
      <c r="O98" s="57">
        <f t="shared" si="5"/>
        <v>6</v>
      </c>
      <c r="P98" s="58">
        <f ca="1" t="shared" si="6"/>
        <v>2023</v>
      </c>
      <c r="R98" s="56">
        <f t="shared" si="7"/>
        <v>6</v>
      </c>
      <c r="S98" s="57" t="str">
        <f t="shared" si="8"/>
        <v/>
      </c>
      <c r="T98" s="58" t="str">
        <f t="shared" si="9"/>
        <v/>
      </c>
    </row>
    <row r="99" spans="2:20" s="7" customFormat="1" ht="12.75">
      <c r="B99" s="42"/>
      <c r="C99" s="89">
        <f t="shared" si="1"/>
        <v>58</v>
      </c>
      <c r="D99" s="90">
        <f ca="1" t="shared" si="0"/>
        <v>45108</v>
      </c>
      <c r="E99" s="71">
        <f t="shared" si="2"/>
        <v>89302.25999999998</v>
      </c>
      <c r="F99" s="71">
        <f>IF(E99="","",IF(Annuitätenrechner!$F$37&gt;=E99,E99+ROUND(E99*Annuitätenrechner!$E$21/Annuitätenrechner!$O$27,2),Annuitätenrechner!$F$37))</f>
        <v>583.33</v>
      </c>
      <c r="G99" s="71">
        <f>IF(E99="","",+ROUND(E99*Annuitätenrechner!$E$21/Annuitätenrechner!$O$27,2))</f>
        <v>372.09</v>
      </c>
      <c r="H99" s="71">
        <f>IF(E99="","",IF(Annuitätenrechner!$F$37-G99&lt;=E99,Annuitätenrechner!$F$37-G99,E99))</f>
        <v>211.24000000000007</v>
      </c>
      <c r="I99" s="91">
        <f t="shared" si="3"/>
        <v>89091.01999999997</v>
      </c>
      <c r="J99" s="41"/>
      <c r="N99" s="56">
        <f ca="1" t="shared" si="4"/>
        <v>1</v>
      </c>
      <c r="O99" s="57">
        <f t="shared" si="5"/>
        <v>7</v>
      </c>
      <c r="P99" s="58">
        <f ca="1" t="shared" si="6"/>
        <v>2023</v>
      </c>
      <c r="R99" s="56">
        <f t="shared" si="7"/>
        <v>7</v>
      </c>
      <c r="S99" s="57" t="str">
        <f t="shared" si="8"/>
        <v/>
      </c>
      <c r="T99" s="58" t="str">
        <f t="shared" si="9"/>
        <v/>
      </c>
    </row>
    <row r="100" spans="2:20" s="7" customFormat="1" ht="12.75">
      <c r="B100" s="42"/>
      <c r="C100" s="89">
        <f t="shared" si="1"/>
        <v>59</v>
      </c>
      <c r="D100" s="90">
        <f ca="1" t="shared" si="0"/>
        <v>45139</v>
      </c>
      <c r="E100" s="71">
        <f t="shared" si="2"/>
        <v>89091.01999999997</v>
      </c>
      <c r="F100" s="71">
        <f>IF(E100="","",IF(Annuitätenrechner!$F$37&gt;=E100,E100+ROUND(E100*Annuitätenrechner!$E$21/Annuitätenrechner!$O$27,2),Annuitätenrechner!$F$37))</f>
        <v>583.33</v>
      </c>
      <c r="G100" s="71">
        <f>IF(E100="","",+ROUND(E100*Annuitätenrechner!$E$21/Annuitätenrechner!$O$27,2))</f>
        <v>371.21</v>
      </c>
      <c r="H100" s="71">
        <f>IF(E100="","",IF(Annuitätenrechner!$F$37-G100&lt;=E100,Annuitätenrechner!$F$37-G100,E100))</f>
        <v>212.12000000000006</v>
      </c>
      <c r="I100" s="91">
        <f t="shared" si="3"/>
        <v>88878.89999999998</v>
      </c>
      <c r="J100" s="41"/>
      <c r="N100" s="56">
        <f ca="1" t="shared" si="4"/>
        <v>1</v>
      </c>
      <c r="O100" s="57">
        <f t="shared" si="5"/>
        <v>8</v>
      </c>
      <c r="P100" s="58">
        <f ca="1" t="shared" si="6"/>
        <v>2023</v>
      </c>
      <c r="R100" s="56">
        <f t="shared" si="7"/>
        <v>8</v>
      </c>
      <c r="S100" s="57" t="str">
        <f t="shared" si="8"/>
        <v/>
      </c>
      <c r="T100" s="58" t="str">
        <f t="shared" si="9"/>
        <v/>
      </c>
    </row>
    <row r="101" spans="2:20" s="7" customFormat="1" ht="12.75">
      <c r="B101" s="42"/>
      <c r="C101" s="89">
        <f t="shared" si="1"/>
        <v>60</v>
      </c>
      <c r="D101" s="90">
        <f ca="1" t="shared" si="0"/>
        <v>45170</v>
      </c>
      <c r="E101" s="71">
        <f t="shared" si="2"/>
        <v>88878.89999999998</v>
      </c>
      <c r="F101" s="71">
        <f>IF(E101="","",IF(Annuitätenrechner!$F$37&gt;=E101,E101+ROUND(E101*Annuitätenrechner!$E$21/Annuitätenrechner!$O$27,2),Annuitätenrechner!$F$37))</f>
        <v>583.33</v>
      </c>
      <c r="G101" s="71">
        <f>IF(E101="","",+ROUND(E101*Annuitätenrechner!$E$21/Annuitätenrechner!$O$27,2))</f>
        <v>370.33</v>
      </c>
      <c r="H101" s="71">
        <f>IF(E101="","",IF(Annuitätenrechner!$F$37-G101&lt;=E101,Annuitätenrechner!$F$37-G101,E101))</f>
        <v>213.00000000000006</v>
      </c>
      <c r="I101" s="91">
        <f t="shared" si="3"/>
        <v>88665.89999999998</v>
      </c>
      <c r="J101" s="41"/>
      <c r="N101" s="56">
        <f ca="1" t="shared" si="4"/>
        <v>1</v>
      </c>
      <c r="O101" s="57">
        <f t="shared" si="5"/>
        <v>9</v>
      </c>
      <c r="P101" s="58">
        <f ca="1" t="shared" si="6"/>
        <v>2023</v>
      </c>
      <c r="R101" s="56">
        <f t="shared" si="7"/>
        <v>9</v>
      </c>
      <c r="S101" s="57" t="str">
        <f t="shared" si="8"/>
        <v/>
      </c>
      <c r="T101" s="58" t="str">
        <f t="shared" si="9"/>
        <v/>
      </c>
    </row>
    <row r="102" spans="2:20" s="7" customFormat="1" ht="12.75">
      <c r="B102" s="42"/>
      <c r="C102" s="89">
        <f t="shared" si="1"/>
        <v>61</v>
      </c>
      <c r="D102" s="90">
        <f ca="1" t="shared" si="0"/>
        <v>45200</v>
      </c>
      <c r="E102" s="71">
        <f t="shared" si="2"/>
        <v>88665.89999999998</v>
      </c>
      <c r="F102" s="71">
        <f>IF(E102="","",IF(Annuitätenrechner!$F$37&gt;=E102,E102+ROUND(E102*Annuitätenrechner!$E$21/Annuitätenrechner!$O$27,2),Annuitätenrechner!$F$37))</f>
        <v>583.33</v>
      </c>
      <c r="G102" s="71">
        <f>IF(E102="","",+ROUND(E102*Annuitätenrechner!$E$21/Annuitätenrechner!$O$27,2))</f>
        <v>369.44</v>
      </c>
      <c r="H102" s="71">
        <f>IF(E102="","",IF(Annuitätenrechner!$F$37-G102&lt;=E102,Annuitätenrechner!$F$37-G102,E102))</f>
        <v>213.89000000000004</v>
      </c>
      <c r="I102" s="91">
        <f t="shared" si="3"/>
        <v>88452.00999999998</v>
      </c>
      <c r="J102" s="41"/>
      <c r="N102" s="56">
        <f ca="1" t="shared" si="4"/>
        <v>1</v>
      </c>
      <c r="O102" s="57">
        <f t="shared" si="5"/>
        <v>10</v>
      </c>
      <c r="P102" s="58">
        <f ca="1" t="shared" si="6"/>
        <v>2023</v>
      </c>
      <c r="R102" s="56">
        <f t="shared" si="7"/>
        <v>10</v>
      </c>
      <c r="S102" s="57" t="str">
        <f t="shared" si="8"/>
        <v/>
      </c>
      <c r="T102" s="58" t="str">
        <f t="shared" si="9"/>
        <v/>
      </c>
    </row>
    <row r="103" spans="2:20" s="7" customFormat="1" ht="12.75">
      <c r="B103" s="42"/>
      <c r="C103" s="89">
        <f t="shared" si="1"/>
        <v>62</v>
      </c>
      <c r="D103" s="90">
        <f ca="1" t="shared" si="0"/>
        <v>45231</v>
      </c>
      <c r="E103" s="71">
        <f t="shared" si="2"/>
        <v>88452.00999999998</v>
      </c>
      <c r="F103" s="71">
        <f>IF(E103="","",IF(Annuitätenrechner!$F$37&gt;=E103,E103+ROUND(E103*Annuitätenrechner!$E$21/Annuitätenrechner!$O$27,2),Annuitätenrechner!$F$37))</f>
        <v>583.33</v>
      </c>
      <c r="G103" s="71">
        <f>IF(E103="","",+ROUND(E103*Annuitätenrechner!$E$21/Annuitätenrechner!$O$27,2))</f>
        <v>368.55</v>
      </c>
      <c r="H103" s="71">
        <f>IF(E103="","",IF(Annuitätenrechner!$F$37-G103&lt;=E103,Annuitätenrechner!$F$37-G103,E103))</f>
        <v>214.78000000000003</v>
      </c>
      <c r="I103" s="91">
        <f t="shared" si="3"/>
        <v>88237.22999999998</v>
      </c>
      <c r="J103" s="41"/>
      <c r="N103" s="56">
        <f ca="1" t="shared" si="4"/>
        <v>1</v>
      </c>
      <c r="O103" s="57">
        <f t="shared" si="5"/>
        <v>11</v>
      </c>
      <c r="P103" s="58">
        <f ca="1" t="shared" si="6"/>
        <v>2023</v>
      </c>
      <c r="R103" s="56">
        <f t="shared" si="7"/>
        <v>11</v>
      </c>
      <c r="S103" s="57" t="str">
        <f t="shared" si="8"/>
        <v/>
      </c>
      <c r="T103" s="58" t="str">
        <f t="shared" si="9"/>
        <v/>
      </c>
    </row>
    <row r="104" spans="2:20" s="7" customFormat="1" ht="12.75">
      <c r="B104" s="42"/>
      <c r="C104" s="89">
        <f t="shared" si="1"/>
        <v>63</v>
      </c>
      <c r="D104" s="90">
        <f ca="1" t="shared" si="0"/>
        <v>45261</v>
      </c>
      <c r="E104" s="71">
        <f t="shared" si="2"/>
        <v>88237.22999999998</v>
      </c>
      <c r="F104" s="71">
        <f>IF(E104="","",IF(Annuitätenrechner!$F$37&gt;=E104,E104+ROUND(E104*Annuitätenrechner!$E$21/Annuitätenrechner!$O$27,2),Annuitätenrechner!$F$37))</f>
        <v>583.33</v>
      </c>
      <c r="G104" s="71">
        <f>IF(E104="","",+ROUND(E104*Annuitätenrechner!$E$21/Annuitätenrechner!$O$27,2))</f>
        <v>367.66</v>
      </c>
      <c r="H104" s="71">
        <f>IF(E104="","",IF(Annuitätenrechner!$F$37-G104&lt;=E104,Annuitätenrechner!$F$37-G104,E104))</f>
        <v>215.67000000000002</v>
      </c>
      <c r="I104" s="91">
        <f t="shared" si="3"/>
        <v>88021.55999999998</v>
      </c>
      <c r="J104" s="41"/>
      <c r="N104" s="56">
        <f ca="1" t="shared" si="4"/>
        <v>1</v>
      </c>
      <c r="O104" s="57">
        <f t="shared" si="5"/>
        <v>12</v>
      </c>
      <c r="P104" s="58">
        <f ca="1" t="shared" si="6"/>
        <v>2023</v>
      </c>
      <c r="R104" s="56">
        <f t="shared" si="7"/>
        <v>12</v>
      </c>
      <c r="S104" s="57" t="str">
        <f t="shared" si="8"/>
        <v/>
      </c>
      <c r="T104" s="58" t="str">
        <f t="shared" si="9"/>
        <v/>
      </c>
    </row>
    <row r="105" spans="2:20" s="7" customFormat="1" ht="12.75">
      <c r="B105" s="42"/>
      <c r="C105" s="89">
        <f t="shared" si="1"/>
        <v>64</v>
      </c>
      <c r="D105" s="90">
        <f ca="1" t="shared" si="0"/>
        <v>45292</v>
      </c>
      <c r="E105" s="71">
        <f t="shared" si="2"/>
        <v>88021.55999999998</v>
      </c>
      <c r="F105" s="71">
        <f>IF(E105="","",IF(Annuitätenrechner!$F$37&gt;=E105,E105+ROUND(E105*Annuitätenrechner!$E$21/Annuitätenrechner!$O$27,2),Annuitätenrechner!$F$37))</f>
        <v>583.33</v>
      </c>
      <c r="G105" s="71">
        <f>IF(E105="","",+ROUND(E105*Annuitätenrechner!$E$21/Annuitätenrechner!$O$27,2))</f>
        <v>366.76</v>
      </c>
      <c r="H105" s="71">
        <f>IF(E105="","",IF(Annuitätenrechner!$F$37-G105&lt;=E105,Annuitätenrechner!$F$37-G105,E105))</f>
        <v>216.57000000000005</v>
      </c>
      <c r="I105" s="91">
        <f t="shared" si="3"/>
        <v>87804.98999999998</v>
      </c>
      <c r="J105" s="41"/>
      <c r="N105" s="56">
        <f ca="1" t="shared" si="4"/>
        <v>1</v>
      </c>
      <c r="O105" s="57">
        <f t="shared" si="5"/>
        <v>1</v>
      </c>
      <c r="P105" s="58">
        <f ca="1" t="shared" si="6"/>
        <v>2024</v>
      </c>
      <c r="R105" s="56">
        <f t="shared" si="7"/>
        <v>1</v>
      </c>
      <c r="S105" s="57" t="str">
        <f t="shared" si="8"/>
        <v/>
      </c>
      <c r="T105" s="58" t="str">
        <f t="shared" si="9"/>
        <v/>
      </c>
    </row>
    <row r="106" spans="2:20" s="7" customFormat="1" ht="12.75">
      <c r="B106" s="42"/>
      <c r="C106" s="89">
        <f t="shared" si="1"/>
        <v>65</v>
      </c>
      <c r="D106" s="90">
        <f ca="1" t="shared" si="0"/>
        <v>45323</v>
      </c>
      <c r="E106" s="71">
        <f t="shared" si="2"/>
        <v>87804.98999999998</v>
      </c>
      <c r="F106" s="71">
        <f>IF(E106="","",IF(Annuitätenrechner!$F$37&gt;=E106,E106+ROUND(E106*Annuitätenrechner!$E$21/Annuitätenrechner!$O$27,2),Annuitätenrechner!$F$37))</f>
        <v>583.33</v>
      </c>
      <c r="G106" s="71">
        <f>IF(E106="","",+ROUND(E106*Annuitätenrechner!$E$21/Annuitätenrechner!$O$27,2))</f>
        <v>365.85</v>
      </c>
      <c r="H106" s="71">
        <f>IF(E106="","",IF(Annuitätenrechner!$F$37-G106&lt;=E106,Annuitätenrechner!$F$37-G106,E106))</f>
        <v>217.48000000000002</v>
      </c>
      <c r="I106" s="91">
        <f t="shared" si="3"/>
        <v>87587.50999999998</v>
      </c>
      <c r="J106" s="41"/>
      <c r="N106" s="56">
        <f ca="1" t="shared" si="4"/>
        <v>1</v>
      </c>
      <c r="O106" s="57">
        <f t="shared" si="5"/>
        <v>2</v>
      </c>
      <c r="P106" s="58">
        <f ca="1" t="shared" si="6"/>
        <v>2024</v>
      </c>
      <c r="R106" s="56">
        <f t="shared" si="7"/>
        <v>2</v>
      </c>
      <c r="S106" s="57" t="str">
        <f t="shared" si="8"/>
        <v/>
      </c>
      <c r="T106" s="58" t="str">
        <f t="shared" si="9"/>
        <v/>
      </c>
    </row>
    <row r="107" spans="2:20" s="7" customFormat="1" ht="12.75">
      <c r="B107" s="42"/>
      <c r="C107" s="89">
        <f t="shared" si="1"/>
        <v>66</v>
      </c>
      <c r="D107" s="90">
        <f aca="true" t="shared" si="10" ref="D107:D170">IF(OR(I106="",I106=0),"",DATE(P107,O107,N107))</f>
        <v>45352</v>
      </c>
      <c r="E107" s="71">
        <f t="shared" si="2"/>
        <v>87587.50999999998</v>
      </c>
      <c r="F107" s="71">
        <f>IF(E107="","",IF(Annuitätenrechner!$F$37&gt;=E107,E107+ROUND(E107*Annuitätenrechner!$E$21/Annuitätenrechner!$O$27,2),Annuitätenrechner!$F$37))</f>
        <v>583.33</v>
      </c>
      <c r="G107" s="71">
        <f>IF(E107="","",+ROUND(E107*Annuitätenrechner!$E$21/Annuitätenrechner!$O$27,2))</f>
        <v>364.95</v>
      </c>
      <c r="H107" s="71">
        <f>IF(E107="","",IF(Annuitätenrechner!$F$37-G107&lt;=E107,Annuitätenrechner!$F$37-G107,E107))</f>
        <v>218.38000000000005</v>
      </c>
      <c r="I107" s="91">
        <f t="shared" si="3"/>
        <v>87369.12999999998</v>
      </c>
      <c r="J107" s="41"/>
      <c r="N107" s="56">
        <f ca="1" t="shared" si="4"/>
        <v>1</v>
      </c>
      <c r="O107" s="57">
        <f t="shared" si="5"/>
        <v>3</v>
      </c>
      <c r="P107" s="58">
        <f ca="1" t="shared" si="6"/>
        <v>2024</v>
      </c>
      <c r="R107" s="56">
        <f t="shared" si="7"/>
        <v>3</v>
      </c>
      <c r="S107" s="57" t="str">
        <f t="shared" si="8"/>
        <v/>
      </c>
      <c r="T107" s="58" t="str">
        <f t="shared" si="9"/>
        <v/>
      </c>
    </row>
    <row r="108" spans="2:20" s="7" customFormat="1" ht="12.75">
      <c r="B108" s="42"/>
      <c r="C108" s="89">
        <f aca="true" t="shared" si="11" ref="C108:C171">+IF(E108="","",C107+1)</f>
        <v>67</v>
      </c>
      <c r="D108" s="90">
        <f ca="1" t="shared" si="10"/>
        <v>45383</v>
      </c>
      <c r="E108" s="71">
        <f aca="true" t="shared" si="12" ref="E108:E171">IF(OR(I107=0,I107=""),"",I107)</f>
        <v>87369.12999999998</v>
      </c>
      <c r="F108" s="71">
        <f>IF(E108="","",IF(Annuitätenrechner!$F$37&gt;=E108,E108+ROUND(E108*Annuitätenrechner!$E$21/Annuitätenrechner!$O$27,2),Annuitätenrechner!$F$37))</f>
        <v>583.33</v>
      </c>
      <c r="G108" s="71">
        <f>IF(E108="","",+ROUND(E108*Annuitätenrechner!$E$21/Annuitätenrechner!$O$27,2))</f>
        <v>364.04</v>
      </c>
      <c r="H108" s="71">
        <f>IF(E108="","",IF(Annuitätenrechner!$F$37-G108&lt;=E108,Annuitätenrechner!$F$37-G108,E108))</f>
        <v>219.29000000000002</v>
      </c>
      <c r="I108" s="91">
        <f aca="true" t="shared" si="13" ref="I108:I171">IF(OR(I107="",I107=0),"",E108-H108)</f>
        <v>87149.83999999998</v>
      </c>
      <c r="J108" s="41"/>
      <c r="N108" s="56">
        <f aca="true" t="shared" si="14" ref="N108:N171">+N107</f>
        <v>1</v>
      </c>
      <c r="O108" s="57">
        <f aca="true" t="shared" si="15" ref="O108:O171">+IF(R108&lt;&gt;"",R108,IF(S108&lt;&gt;"",S108,T108))</f>
        <v>4</v>
      </c>
      <c r="P108" s="58">
        <f aca="true" t="shared" si="16" ref="P108:P171">+IF(O108&lt;O107,P107+1,P107)</f>
        <v>2024</v>
      </c>
      <c r="R108" s="56">
        <f aca="true" t="shared" si="17" ref="R108:R171">+IF(AND(R$40=12,$O$40=12),IF($O107=12,1,$O107+1),"")</f>
        <v>4</v>
      </c>
      <c r="S108" s="57" t="str">
        <f aca="true" t="shared" si="18" ref="S108:S171">+IF(AND(S$40=4,$O$40=4),IF($O107&gt;=10,O107+3-12,$O107+3),"")</f>
        <v/>
      </c>
      <c r="T108" s="58" t="str">
        <f aca="true" t="shared" si="19" ref="T108:T171">+IF(AND(T$40=1,$O$40=1),O107,"")</f>
        <v/>
      </c>
    </row>
    <row r="109" spans="2:20" s="7" customFormat="1" ht="12.75">
      <c r="B109" s="42"/>
      <c r="C109" s="89">
        <f t="shared" si="11"/>
        <v>68</v>
      </c>
      <c r="D109" s="90">
        <f ca="1" t="shared" si="10"/>
        <v>45413</v>
      </c>
      <c r="E109" s="71">
        <f t="shared" si="12"/>
        <v>87149.83999999998</v>
      </c>
      <c r="F109" s="71">
        <f>IF(E109="","",IF(Annuitätenrechner!$F$37&gt;=E109,E109+ROUND(E109*Annuitätenrechner!$E$21/Annuitätenrechner!$O$27,2),Annuitätenrechner!$F$37))</f>
        <v>583.33</v>
      </c>
      <c r="G109" s="71">
        <f>IF(E109="","",+ROUND(E109*Annuitätenrechner!$E$21/Annuitätenrechner!$O$27,2))</f>
        <v>363.12</v>
      </c>
      <c r="H109" s="71">
        <f>IF(E109="","",IF(Annuitätenrechner!$F$37-G109&lt;=E109,Annuitätenrechner!$F$37-G109,E109))</f>
        <v>220.21000000000004</v>
      </c>
      <c r="I109" s="91">
        <f t="shared" si="13"/>
        <v>86929.62999999998</v>
      </c>
      <c r="J109" s="41"/>
      <c r="N109" s="56">
        <f ca="1" t="shared" si="14"/>
        <v>1</v>
      </c>
      <c r="O109" s="57">
        <f t="shared" si="15"/>
        <v>5</v>
      </c>
      <c r="P109" s="58">
        <f ca="1" t="shared" si="16"/>
        <v>2024</v>
      </c>
      <c r="R109" s="56">
        <f t="shared" si="17"/>
        <v>5</v>
      </c>
      <c r="S109" s="57" t="str">
        <f t="shared" si="18"/>
        <v/>
      </c>
      <c r="T109" s="58" t="str">
        <f t="shared" si="19"/>
        <v/>
      </c>
    </row>
    <row r="110" spans="2:20" s="7" customFormat="1" ht="12.75">
      <c r="B110" s="42"/>
      <c r="C110" s="89">
        <f t="shared" si="11"/>
        <v>69</v>
      </c>
      <c r="D110" s="90">
        <f ca="1" t="shared" si="10"/>
        <v>45444</v>
      </c>
      <c r="E110" s="71">
        <f t="shared" si="12"/>
        <v>86929.62999999998</v>
      </c>
      <c r="F110" s="71">
        <f>IF(E110="","",IF(Annuitätenrechner!$F$37&gt;=E110,E110+ROUND(E110*Annuitätenrechner!$E$21/Annuitätenrechner!$O$27,2),Annuitätenrechner!$F$37))</f>
        <v>583.33</v>
      </c>
      <c r="G110" s="71">
        <f>IF(E110="","",+ROUND(E110*Annuitätenrechner!$E$21/Annuitätenrechner!$O$27,2))</f>
        <v>362.21</v>
      </c>
      <c r="H110" s="71">
        <f>IF(E110="","",IF(Annuitätenrechner!$F$37-G110&lt;=E110,Annuitätenrechner!$F$37-G110,E110))</f>
        <v>221.12000000000006</v>
      </c>
      <c r="I110" s="91">
        <f t="shared" si="13"/>
        <v>86708.50999999998</v>
      </c>
      <c r="J110" s="41"/>
      <c r="N110" s="56">
        <f ca="1" t="shared" si="14"/>
        <v>1</v>
      </c>
      <c r="O110" s="57">
        <f t="shared" si="15"/>
        <v>6</v>
      </c>
      <c r="P110" s="58">
        <f ca="1" t="shared" si="16"/>
        <v>2024</v>
      </c>
      <c r="R110" s="56">
        <f t="shared" si="17"/>
        <v>6</v>
      </c>
      <c r="S110" s="57" t="str">
        <f t="shared" si="18"/>
        <v/>
      </c>
      <c r="T110" s="58" t="str">
        <f t="shared" si="19"/>
        <v/>
      </c>
    </row>
    <row r="111" spans="2:20" s="7" customFormat="1" ht="12.75">
      <c r="B111" s="42"/>
      <c r="C111" s="89">
        <f t="shared" si="11"/>
        <v>70</v>
      </c>
      <c r="D111" s="90">
        <f ca="1" t="shared" si="10"/>
        <v>45474</v>
      </c>
      <c r="E111" s="71">
        <f t="shared" si="12"/>
        <v>86708.50999999998</v>
      </c>
      <c r="F111" s="71">
        <f>IF(E111="","",IF(Annuitätenrechner!$F$37&gt;=E111,E111+ROUND(E111*Annuitätenrechner!$E$21/Annuitätenrechner!$O$27,2),Annuitätenrechner!$F$37))</f>
        <v>583.33</v>
      </c>
      <c r="G111" s="71">
        <f>IF(E111="","",+ROUND(E111*Annuitätenrechner!$E$21/Annuitätenrechner!$O$27,2))</f>
        <v>361.29</v>
      </c>
      <c r="H111" s="71">
        <f>IF(E111="","",IF(Annuitätenrechner!$F$37-G111&lt;=E111,Annuitätenrechner!$F$37-G111,E111))</f>
        <v>222.04000000000002</v>
      </c>
      <c r="I111" s="91">
        <f t="shared" si="13"/>
        <v>86486.46999999999</v>
      </c>
      <c r="J111" s="41"/>
      <c r="N111" s="56">
        <f ca="1" t="shared" si="14"/>
        <v>1</v>
      </c>
      <c r="O111" s="57">
        <f t="shared" si="15"/>
        <v>7</v>
      </c>
      <c r="P111" s="58">
        <f ca="1" t="shared" si="16"/>
        <v>2024</v>
      </c>
      <c r="R111" s="56">
        <f t="shared" si="17"/>
        <v>7</v>
      </c>
      <c r="S111" s="57" t="str">
        <f t="shared" si="18"/>
        <v/>
      </c>
      <c r="T111" s="58" t="str">
        <f t="shared" si="19"/>
        <v/>
      </c>
    </row>
    <row r="112" spans="2:20" s="7" customFormat="1" ht="12.75">
      <c r="B112" s="42"/>
      <c r="C112" s="89">
        <f t="shared" si="11"/>
        <v>71</v>
      </c>
      <c r="D112" s="90">
        <f ca="1" t="shared" si="10"/>
        <v>45505</v>
      </c>
      <c r="E112" s="71">
        <f t="shared" si="12"/>
        <v>86486.46999999999</v>
      </c>
      <c r="F112" s="71">
        <f>IF(E112="","",IF(Annuitätenrechner!$F$37&gt;=E112,E112+ROUND(E112*Annuitätenrechner!$E$21/Annuitätenrechner!$O$27,2),Annuitätenrechner!$F$37))</f>
        <v>583.33</v>
      </c>
      <c r="G112" s="71">
        <f>IF(E112="","",+ROUND(E112*Annuitätenrechner!$E$21/Annuitätenrechner!$O$27,2))</f>
        <v>360.36</v>
      </c>
      <c r="H112" s="71">
        <f>IF(E112="","",IF(Annuitätenrechner!$F$37-G112&lt;=E112,Annuitätenrechner!$F$37-G112,E112))</f>
        <v>222.97000000000003</v>
      </c>
      <c r="I112" s="91">
        <f t="shared" si="13"/>
        <v>86263.49999999999</v>
      </c>
      <c r="J112" s="41"/>
      <c r="N112" s="56">
        <f ca="1" t="shared" si="14"/>
        <v>1</v>
      </c>
      <c r="O112" s="57">
        <f t="shared" si="15"/>
        <v>8</v>
      </c>
      <c r="P112" s="58">
        <f ca="1" t="shared" si="16"/>
        <v>2024</v>
      </c>
      <c r="R112" s="56">
        <f t="shared" si="17"/>
        <v>8</v>
      </c>
      <c r="S112" s="57" t="str">
        <f t="shared" si="18"/>
        <v/>
      </c>
      <c r="T112" s="58" t="str">
        <f t="shared" si="19"/>
        <v/>
      </c>
    </row>
    <row r="113" spans="2:20" s="7" customFormat="1" ht="12.75">
      <c r="B113" s="42"/>
      <c r="C113" s="89">
        <f t="shared" si="11"/>
        <v>72</v>
      </c>
      <c r="D113" s="90">
        <f ca="1" t="shared" si="10"/>
        <v>45536</v>
      </c>
      <c r="E113" s="71">
        <f t="shared" si="12"/>
        <v>86263.49999999999</v>
      </c>
      <c r="F113" s="71">
        <f>IF(E113="","",IF(Annuitätenrechner!$F$37&gt;=E113,E113+ROUND(E113*Annuitätenrechner!$E$21/Annuitätenrechner!$O$27,2),Annuitätenrechner!$F$37))</f>
        <v>583.33</v>
      </c>
      <c r="G113" s="71">
        <f>IF(E113="","",+ROUND(E113*Annuitätenrechner!$E$21/Annuitätenrechner!$O$27,2))</f>
        <v>359.43</v>
      </c>
      <c r="H113" s="71">
        <f>IF(E113="","",IF(Annuitätenrechner!$F$37-G113&lt;=E113,Annuitätenrechner!$F$37-G113,E113))</f>
        <v>223.90000000000003</v>
      </c>
      <c r="I113" s="91">
        <f t="shared" si="13"/>
        <v>86039.59999999999</v>
      </c>
      <c r="J113" s="41"/>
      <c r="N113" s="56">
        <f ca="1" t="shared" si="14"/>
        <v>1</v>
      </c>
      <c r="O113" s="57">
        <f t="shared" si="15"/>
        <v>9</v>
      </c>
      <c r="P113" s="58">
        <f ca="1" t="shared" si="16"/>
        <v>2024</v>
      </c>
      <c r="R113" s="56">
        <f t="shared" si="17"/>
        <v>9</v>
      </c>
      <c r="S113" s="57" t="str">
        <f t="shared" si="18"/>
        <v/>
      </c>
      <c r="T113" s="58" t="str">
        <f t="shared" si="19"/>
        <v/>
      </c>
    </row>
    <row r="114" spans="2:20" s="7" customFormat="1" ht="12.75">
      <c r="B114" s="42"/>
      <c r="C114" s="89">
        <f t="shared" si="11"/>
        <v>73</v>
      </c>
      <c r="D114" s="90">
        <f ca="1" t="shared" si="10"/>
        <v>45566</v>
      </c>
      <c r="E114" s="71">
        <f t="shared" si="12"/>
        <v>86039.59999999999</v>
      </c>
      <c r="F114" s="71">
        <f>IF(E114="","",IF(Annuitätenrechner!$F$37&gt;=E114,E114+ROUND(E114*Annuitätenrechner!$E$21/Annuitätenrechner!$O$27,2),Annuitätenrechner!$F$37))</f>
        <v>583.33</v>
      </c>
      <c r="G114" s="71">
        <f>IF(E114="","",+ROUND(E114*Annuitätenrechner!$E$21/Annuitätenrechner!$O$27,2))</f>
        <v>358.5</v>
      </c>
      <c r="H114" s="71">
        <f>IF(E114="","",IF(Annuitätenrechner!$F$37-G114&lt;=E114,Annuitätenrechner!$F$37-G114,E114))</f>
        <v>224.83000000000004</v>
      </c>
      <c r="I114" s="91">
        <f t="shared" si="13"/>
        <v>85814.76999999999</v>
      </c>
      <c r="J114" s="41"/>
      <c r="N114" s="56">
        <f ca="1" t="shared" si="14"/>
        <v>1</v>
      </c>
      <c r="O114" s="57">
        <f t="shared" si="15"/>
        <v>10</v>
      </c>
      <c r="P114" s="58">
        <f ca="1" t="shared" si="16"/>
        <v>2024</v>
      </c>
      <c r="R114" s="56">
        <f t="shared" si="17"/>
        <v>10</v>
      </c>
      <c r="S114" s="57" t="str">
        <f t="shared" si="18"/>
        <v/>
      </c>
      <c r="T114" s="58" t="str">
        <f t="shared" si="19"/>
        <v/>
      </c>
    </row>
    <row r="115" spans="2:20" s="7" customFormat="1" ht="12.75">
      <c r="B115" s="42"/>
      <c r="C115" s="89">
        <f t="shared" si="11"/>
        <v>74</v>
      </c>
      <c r="D115" s="90">
        <f ca="1" t="shared" si="10"/>
        <v>45597</v>
      </c>
      <c r="E115" s="71">
        <f t="shared" si="12"/>
        <v>85814.76999999999</v>
      </c>
      <c r="F115" s="71">
        <f>IF(E115="","",IF(Annuitätenrechner!$F$37&gt;=E115,E115+ROUND(E115*Annuitätenrechner!$E$21/Annuitätenrechner!$O$27,2),Annuitätenrechner!$F$37))</f>
        <v>583.33</v>
      </c>
      <c r="G115" s="71">
        <f>IF(E115="","",+ROUND(E115*Annuitätenrechner!$E$21/Annuitätenrechner!$O$27,2))</f>
        <v>357.56</v>
      </c>
      <c r="H115" s="71">
        <f>IF(E115="","",IF(Annuitätenrechner!$F$37-G115&lt;=E115,Annuitätenrechner!$F$37-G115,E115))</f>
        <v>225.77000000000004</v>
      </c>
      <c r="I115" s="91">
        <f t="shared" si="13"/>
        <v>85588.99999999999</v>
      </c>
      <c r="J115" s="41"/>
      <c r="N115" s="56">
        <f ca="1" t="shared" si="14"/>
        <v>1</v>
      </c>
      <c r="O115" s="57">
        <f t="shared" si="15"/>
        <v>11</v>
      </c>
      <c r="P115" s="58">
        <f ca="1" t="shared" si="16"/>
        <v>2024</v>
      </c>
      <c r="R115" s="56">
        <f t="shared" si="17"/>
        <v>11</v>
      </c>
      <c r="S115" s="57" t="str">
        <f t="shared" si="18"/>
        <v/>
      </c>
      <c r="T115" s="58" t="str">
        <f t="shared" si="19"/>
        <v/>
      </c>
    </row>
    <row r="116" spans="2:20" s="7" customFormat="1" ht="12.75">
      <c r="B116" s="42"/>
      <c r="C116" s="89">
        <f t="shared" si="11"/>
        <v>75</v>
      </c>
      <c r="D116" s="90">
        <f ca="1" t="shared" si="10"/>
        <v>45627</v>
      </c>
      <c r="E116" s="71">
        <f t="shared" si="12"/>
        <v>85588.99999999999</v>
      </c>
      <c r="F116" s="71">
        <f>IF(E116="","",IF(Annuitätenrechner!$F$37&gt;=E116,E116+ROUND(E116*Annuitätenrechner!$E$21/Annuitätenrechner!$O$27,2),Annuitätenrechner!$F$37))</f>
        <v>583.33</v>
      </c>
      <c r="G116" s="71">
        <f>IF(E116="","",+ROUND(E116*Annuitätenrechner!$E$21/Annuitätenrechner!$O$27,2))</f>
        <v>356.62</v>
      </c>
      <c r="H116" s="71">
        <f>IF(E116="","",IF(Annuitätenrechner!$F$37-G116&lt;=E116,Annuitätenrechner!$F$37-G116,E116))</f>
        <v>226.71000000000004</v>
      </c>
      <c r="I116" s="91">
        <f t="shared" si="13"/>
        <v>85362.28999999998</v>
      </c>
      <c r="J116" s="41"/>
      <c r="N116" s="56">
        <f ca="1" t="shared" si="14"/>
        <v>1</v>
      </c>
      <c r="O116" s="57">
        <f t="shared" si="15"/>
        <v>12</v>
      </c>
      <c r="P116" s="58">
        <f ca="1" t="shared" si="16"/>
        <v>2024</v>
      </c>
      <c r="R116" s="56">
        <f t="shared" si="17"/>
        <v>12</v>
      </c>
      <c r="S116" s="57" t="str">
        <f t="shared" si="18"/>
        <v/>
      </c>
      <c r="T116" s="58" t="str">
        <f t="shared" si="19"/>
        <v/>
      </c>
    </row>
    <row r="117" spans="2:20" s="7" customFormat="1" ht="12.75">
      <c r="B117" s="42"/>
      <c r="C117" s="89">
        <f t="shared" si="11"/>
        <v>76</v>
      </c>
      <c r="D117" s="90">
        <f ca="1" t="shared" si="10"/>
        <v>45658</v>
      </c>
      <c r="E117" s="71">
        <f t="shared" si="12"/>
        <v>85362.28999999998</v>
      </c>
      <c r="F117" s="71">
        <f>IF(E117="","",IF(Annuitätenrechner!$F$37&gt;=E117,E117+ROUND(E117*Annuitätenrechner!$E$21/Annuitätenrechner!$O$27,2),Annuitätenrechner!$F$37))</f>
        <v>583.33</v>
      </c>
      <c r="G117" s="71">
        <f>IF(E117="","",+ROUND(E117*Annuitätenrechner!$E$21/Annuitätenrechner!$O$27,2))</f>
        <v>355.68</v>
      </c>
      <c r="H117" s="71">
        <f>IF(E117="","",IF(Annuitätenrechner!$F$37-G117&lt;=E117,Annuitätenrechner!$F$37-G117,E117))</f>
        <v>227.65000000000003</v>
      </c>
      <c r="I117" s="91">
        <f t="shared" si="13"/>
        <v>85134.63999999998</v>
      </c>
      <c r="J117" s="41"/>
      <c r="N117" s="56">
        <f ca="1" t="shared" si="14"/>
        <v>1</v>
      </c>
      <c r="O117" s="57">
        <f t="shared" si="15"/>
        <v>1</v>
      </c>
      <c r="P117" s="58">
        <f ca="1" t="shared" si="16"/>
        <v>2025</v>
      </c>
      <c r="R117" s="56">
        <f t="shared" si="17"/>
        <v>1</v>
      </c>
      <c r="S117" s="57" t="str">
        <f t="shared" si="18"/>
        <v/>
      </c>
      <c r="T117" s="58" t="str">
        <f t="shared" si="19"/>
        <v/>
      </c>
    </row>
    <row r="118" spans="2:20" s="7" customFormat="1" ht="12.75">
      <c r="B118" s="42"/>
      <c r="C118" s="89">
        <f t="shared" si="11"/>
        <v>77</v>
      </c>
      <c r="D118" s="90">
        <f ca="1" t="shared" si="10"/>
        <v>45689</v>
      </c>
      <c r="E118" s="71">
        <f t="shared" si="12"/>
        <v>85134.63999999998</v>
      </c>
      <c r="F118" s="71">
        <f>IF(E118="","",IF(Annuitätenrechner!$F$37&gt;=E118,E118+ROUND(E118*Annuitätenrechner!$E$21/Annuitätenrechner!$O$27,2),Annuitätenrechner!$F$37))</f>
        <v>583.33</v>
      </c>
      <c r="G118" s="71">
        <f>IF(E118="","",+ROUND(E118*Annuitätenrechner!$E$21/Annuitätenrechner!$O$27,2))</f>
        <v>354.73</v>
      </c>
      <c r="H118" s="71">
        <f>IF(E118="","",IF(Annuitätenrechner!$F$37-G118&lt;=E118,Annuitätenrechner!$F$37-G118,E118))</f>
        <v>228.60000000000002</v>
      </c>
      <c r="I118" s="91">
        <f t="shared" si="13"/>
        <v>84906.03999999998</v>
      </c>
      <c r="J118" s="41"/>
      <c r="N118" s="56">
        <f ca="1" t="shared" si="14"/>
        <v>1</v>
      </c>
      <c r="O118" s="57">
        <f t="shared" si="15"/>
        <v>2</v>
      </c>
      <c r="P118" s="58">
        <f ca="1" t="shared" si="16"/>
        <v>2025</v>
      </c>
      <c r="R118" s="56">
        <f t="shared" si="17"/>
        <v>2</v>
      </c>
      <c r="S118" s="57" t="str">
        <f t="shared" si="18"/>
        <v/>
      </c>
      <c r="T118" s="58" t="str">
        <f t="shared" si="19"/>
        <v/>
      </c>
    </row>
    <row r="119" spans="2:20" s="7" customFormat="1" ht="12.75">
      <c r="B119" s="42"/>
      <c r="C119" s="89">
        <f t="shared" si="11"/>
        <v>78</v>
      </c>
      <c r="D119" s="90">
        <f ca="1" t="shared" si="10"/>
        <v>45717</v>
      </c>
      <c r="E119" s="71">
        <f t="shared" si="12"/>
        <v>84906.03999999998</v>
      </c>
      <c r="F119" s="71">
        <f>IF(E119="","",IF(Annuitätenrechner!$F$37&gt;=E119,E119+ROUND(E119*Annuitätenrechner!$E$21/Annuitätenrechner!$O$27,2),Annuitätenrechner!$F$37))</f>
        <v>583.33</v>
      </c>
      <c r="G119" s="71">
        <f>IF(E119="","",+ROUND(E119*Annuitätenrechner!$E$21/Annuitätenrechner!$O$27,2))</f>
        <v>353.78</v>
      </c>
      <c r="H119" s="71">
        <f>IF(E119="","",IF(Annuitätenrechner!$F$37-G119&lt;=E119,Annuitätenrechner!$F$37-G119,E119))</f>
        <v>229.55000000000007</v>
      </c>
      <c r="I119" s="91">
        <f t="shared" si="13"/>
        <v>84676.48999999998</v>
      </c>
      <c r="J119" s="41"/>
      <c r="N119" s="56">
        <f ca="1" t="shared" si="14"/>
        <v>1</v>
      </c>
      <c r="O119" s="57">
        <f t="shared" si="15"/>
        <v>3</v>
      </c>
      <c r="P119" s="58">
        <f ca="1" t="shared" si="16"/>
        <v>2025</v>
      </c>
      <c r="R119" s="56">
        <f t="shared" si="17"/>
        <v>3</v>
      </c>
      <c r="S119" s="57" t="str">
        <f t="shared" si="18"/>
        <v/>
      </c>
      <c r="T119" s="58" t="str">
        <f t="shared" si="19"/>
        <v/>
      </c>
    </row>
    <row r="120" spans="2:20" s="7" customFormat="1" ht="12.75">
      <c r="B120" s="42"/>
      <c r="C120" s="89">
        <f t="shared" si="11"/>
        <v>79</v>
      </c>
      <c r="D120" s="90">
        <f ca="1" t="shared" si="10"/>
        <v>45748</v>
      </c>
      <c r="E120" s="71">
        <f t="shared" si="12"/>
        <v>84676.48999999998</v>
      </c>
      <c r="F120" s="71">
        <f>IF(E120="","",IF(Annuitätenrechner!$F$37&gt;=E120,E120+ROUND(E120*Annuitätenrechner!$E$21/Annuitätenrechner!$O$27,2),Annuitätenrechner!$F$37))</f>
        <v>583.33</v>
      </c>
      <c r="G120" s="71">
        <f>IF(E120="","",+ROUND(E120*Annuitätenrechner!$E$21/Annuitätenrechner!$O$27,2))</f>
        <v>352.82</v>
      </c>
      <c r="H120" s="71">
        <f>IF(E120="","",IF(Annuitätenrechner!$F$37-G120&lt;=E120,Annuitätenrechner!$F$37-G120,E120))</f>
        <v>230.51000000000005</v>
      </c>
      <c r="I120" s="91">
        <f t="shared" si="13"/>
        <v>84445.97999999998</v>
      </c>
      <c r="J120" s="41"/>
      <c r="N120" s="56">
        <f ca="1" t="shared" si="14"/>
        <v>1</v>
      </c>
      <c r="O120" s="57">
        <f t="shared" si="15"/>
        <v>4</v>
      </c>
      <c r="P120" s="58">
        <f ca="1" t="shared" si="16"/>
        <v>2025</v>
      </c>
      <c r="R120" s="56">
        <f t="shared" si="17"/>
        <v>4</v>
      </c>
      <c r="S120" s="57" t="str">
        <f t="shared" si="18"/>
        <v/>
      </c>
      <c r="T120" s="58" t="str">
        <f t="shared" si="19"/>
        <v/>
      </c>
    </row>
    <row r="121" spans="2:20" s="7" customFormat="1" ht="12.75">
      <c r="B121" s="42"/>
      <c r="C121" s="89">
        <f t="shared" si="11"/>
        <v>80</v>
      </c>
      <c r="D121" s="90">
        <f ca="1" t="shared" si="10"/>
        <v>45778</v>
      </c>
      <c r="E121" s="71">
        <f t="shared" si="12"/>
        <v>84445.97999999998</v>
      </c>
      <c r="F121" s="71">
        <f>IF(E121="","",IF(Annuitätenrechner!$F$37&gt;=E121,E121+ROUND(E121*Annuitätenrechner!$E$21/Annuitätenrechner!$O$27,2),Annuitätenrechner!$F$37))</f>
        <v>583.33</v>
      </c>
      <c r="G121" s="71">
        <f>IF(E121="","",+ROUND(E121*Annuitätenrechner!$E$21/Annuitätenrechner!$O$27,2))</f>
        <v>351.86</v>
      </c>
      <c r="H121" s="71">
        <f>IF(E121="","",IF(Annuitätenrechner!$F$37-G121&lt;=E121,Annuitätenrechner!$F$37-G121,E121))</f>
        <v>231.47000000000003</v>
      </c>
      <c r="I121" s="91">
        <f t="shared" si="13"/>
        <v>84214.50999999998</v>
      </c>
      <c r="J121" s="41"/>
      <c r="N121" s="56">
        <f ca="1" t="shared" si="14"/>
        <v>1</v>
      </c>
      <c r="O121" s="57">
        <f t="shared" si="15"/>
        <v>5</v>
      </c>
      <c r="P121" s="58">
        <f ca="1" t="shared" si="16"/>
        <v>2025</v>
      </c>
      <c r="R121" s="56">
        <f t="shared" si="17"/>
        <v>5</v>
      </c>
      <c r="S121" s="57" t="str">
        <f t="shared" si="18"/>
        <v/>
      </c>
      <c r="T121" s="58" t="str">
        <f t="shared" si="19"/>
        <v/>
      </c>
    </row>
    <row r="122" spans="2:20" s="7" customFormat="1" ht="12.75">
      <c r="B122" s="42"/>
      <c r="C122" s="89">
        <f t="shared" si="11"/>
        <v>81</v>
      </c>
      <c r="D122" s="90">
        <f ca="1" t="shared" si="10"/>
        <v>45809</v>
      </c>
      <c r="E122" s="71">
        <f t="shared" si="12"/>
        <v>84214.50999999998</v>
      </c>
      <c r="F122" s="71">
        <f>IF(E122="","",IF(Annuitätenrechner!$F$37&gt;=E122,E122+ROUND(E122*Annuitätenrechner!$E$21/Annuitätenrechner!$O$27,2),Annuitätenrechner!$F$37))</f>
        <v>583.33</v>
      </c>
      <c r="G122" s="71">
        <f>IF(E122="","",+ROUND(E122*Annuitätenrechner!$E$21/Annuitätenrechner!$O$27,2))</f>
        <v>350.89</v>
      </c>
      <c r="H122" s="71">
        <f>IF(E122="","",IF(Annuitätenrechner!$F$37-G122&lt;=E122,Annuitätenrechner!$F$37-G122,E122))</f>
        <v>232.44000000000005</v>
      </c>
      <c r="I122" s="91">
        <f t="shared" si="13"/>
        <v>83982.06999999998</v>
      </c>
      <c r="J122" s="41"/>
      <c r="N122" s="56">
        <f ca="1" t="shared" si="14"/>
        <v>1</v>
      </c>
      <c r="O122" s="57">
        <f t="shared" si="15"/>
        <v>6</v>
      </c>
      <c r="P122" s="58">
        <f ca="1" t="shared" si="16"/>
        <v>2025</v>
      </c>
      <c r="R122" s="56">
        <f t="shared" si="17"/>
        <v>6</v>
      </c>
      <c r="S122" s="57" t="str">
        <f t="shared" si="18"/>
        <v/>
      </c>
      <c r="T122" s="58" t="str">
        <f t="shared" si="19"/>
        <v/>
      </c>
    </row>
    <row r="123" spans="2:20" s="7" customFormat="1" ht="12.75">
      <c r="B123" s="42"/>
      <c r="C123" s="89">
        <f t="shared" si="11"/>
        <v>82</v>
      </c>
      <c r="D123" s="90">
        <f ca="1" t="shared" si="10"/>
        <v>45839</v>
      </c>
      <c r="E123" s="71">
        <f t="shared" si="12"/>
        <v>83982.06999999998</v>
      </c>
      <c r="F123" s="71">
        <f>IF(E123="","",IF(Annuitätenrechner!$F$37&gt;=E123,E123+ROUND(E123*Annuitätenrechner!$E$21/Annuitätenrechner!$O$27,2),Annuitätenrechner!$F$37))</f>
        <v>583.33</v>
      </c>
      <c r="G123" s="71">
        <f>IF(E123="","",+ROUND(E123*Annuitätenrechner!$E$21/Annuitätenrechner!$O$27,2))</f>
        <v>349.93</v>
      </c>
      <c r="H123" s="71">
        <f>IF(E123="","",IF(Annuitätenrechner!$F$37-G123&lt;=E123,Annuitätenrechner!$F$37-G123,E123))</f>
        <v>233.40000000000003</v>
      </c>
      <c r="I123" s="91">
        <f t="shared" si="13"/>
        <v>83748.66999999998</v>
      </c>
      <c r="J123" s="41"/>
      <c r="N123" s="56">
        <f ca="1" t="shared" si="14"/>
        <v>1</v>
      </c>
      <c r="O123" s="57">
        <f t="shared" si="15"/>
        <v>7</v>
      </c>
      <c r="P123" s="58">
        <f ca="1" t="shared" si="16"/>
        <v>2025</v>
      </c>
      <c r="R123" s="56">
        <f t="shared" si="17"/>
        <v>7</v>
      </c>
      <c r="S123" s="57" t="str">
        <f t="shared" si="18"/>
        <v/>
      </c>
      <c r="T123" s="58" t="str">
        <f t="shared" si="19"/>
        <v/>
      </c>
    </row>
    <row r="124" spans="2:20" s="7" customFormat="1" ht="12.75">
      <c r="B124" s="42"/>
      <c r="C124" s="89">
        <f t="shared" si="11"/>
        <v>83</v>
      </c>
      <c r="D124" s="90">
        <f ca="1" t="shared" si="10"/>
        <v>45870</v>
      </c>
      <c r="E124" s="71">
        <f t="shared" si="12"/>
        <v>83748.66999999998</v>
      </c>
      <c r="F124" s="71">
        <f>IF(E124="","",IF(Annuitätenrechner!$F$37&gt;=E124,E124+ROUND(E124*Annuitätenrechner!$E$21/Annuitätenrechner!$O$27,2),Annuitätenrechner!$F$37))</f>
        <v>583.33</v>
      </c>
      <c r="G124" s="71">
        <f>IF(E124="","",+ROUND(E124*Annuitätenrechner!$E$21/Annuitätenrechner!$O$27,2))</f>
        <v>348.95</v>
      </c>
      <c r="H124" s="71">
        <f>IF(E124="","",IF(Annuitätenrechner!$F$37-G124&lt;=E124,Annuitätenrechner!$F$37-G124,E124))</f>
        <v>234.38000000000005</v>
      </c>
      <c r="I124" s="91">
        <f t="shared" si="13"/>
        <v>83514.28999999998</v>
      </c>
      <c r="J124" s="41"/>
      <c r="N124" s="56">
        <f ca="1" t="shared" si="14"/>
        <v>1</v>
      </c>
      <c r="O124" s="57">
        <f t="shared" si="15"/>
        <v>8</v>
      </c>
      <c r="P124" s="58">
        <f ca="1" t="shared" si="16"/>
        <v>2025</v>
      </c>
      <c r="R124" s="56">
        <f t="shared" si="17"/>
        <v>8</v>
      </c>
      <c r="S124" s="57" t="str">
        <f t="shared" si="18"/>
        <v/>
      </c>
      <c r="T124" s="58" t="str">
        <f t="shared" si="19"/>
        <v/>
      </c>
    </row>
    <row r="125" spans="2:20" s="7" customFormat="1" ht="12.75">
      <c r="B125" s="42"/>
      <c r="C125" s="89">
        <f t="shared" si="11"/>
        <v>84</v>
      </c>
      <c r="D125" s="90">
        <f ca="1" t="shared" si="10"/>
        <v>45901</v>
      </c>
      <c r="E125" s="71">
        <f t="shared" si="12"/>
        <v>83514.28999999998</v>
      </c>
      <c r="F125" s="71">
        <f>IF(E125="","",IF(Annuitätenrechner!$F$37&gt;=E125,E125+ROUND(E125*Annuitätenrechner!$E$21/Annuitätenrechner!$O$27,2),Annuitätenrechner!$F$37))</f>
        <v>583.33</v>
      </c>
      <c r="G125" s="71">
        <f>IF(E125="","",+ROUND(E125*Annuitätenrechner!$E$21/Annuitätenrechner!$O$27,2))</f>
        <v>347.98</v>
      </c>
      <c r="H125" s="71">
        <f>IF(E125="","",IF(Annuitätenrechner!$F$37-G125&lt;=E125,Annuitätenrechner!$F$37-G125,E125))</f>
        <v>235.35000000000002</v>
      </c>
      <c r="I125" s="91">
        <f t="shared" si="13"/>
        <v>83278.93999999997</v>
      </c>
      <c r="J125" s="41"/>
      <c r="N125" s="56">
        <f ca="1" t="shared" si="14"/>
        <v>1</v>
      </c>
      <c r="O125" s="57">
        <f t="shared" si="15"/>
        <v>9</v>
      </c>
      <c r="P125" s="58">
        <f ca="1" t="shared" si="16"/>
        <v>2025</v>
      </c>
      <c r="R125" s="56">
        <f t="shared" si="17"/>
        <v>9</v>
      </c>
      <c r="S125" s="57" t="str">
        <f t="shared" si="18"/>
        <v/>
      </c>
      <c r="T125" s="58" t="str">
        <f t="shared" si="19"/>
        <v/>
      </c>
    </row>
    <row r="126" spans="2:20" s="7" customFormat="1" ht="12.75">
      <c r="B126" s="42"/>
      <c r="C126" s="89">
        <f t="shared" si="11"/>
        <v>85</v>
      </c>
      <c r="D126" s="90">
        <f ca="1" t="shared" si="10"/>
        <v>45931</v>
      </c>
      <c r="E126" s="71">
        <f t="shared" si="12"/>
        <v>83278.93999999997</v>
      </c>
      <c r="F126" s="71">
        <f>IF(E126="","",IF(Annuitätenrechner!$F$37&gt;=E126,E126+ROUND(E126*Annuitätenrechner!$E$21/Annuitätenrechner!$O$27,2),Annuitätenrechner!$F$37))</f>
        <v>583.33</v>
      </c>
      <c r="G126" s="71">
        <f>IF(E126="","",+ROUND(E126*Annuitätenrechner!$E$21/Annuitätenrechner!$O$27,2))</f>
        <v>347</v>
      </c>
      <c r="H126" s="71">
        <f>IF(E126="","",IF(Annuitätenrechner!$F$37-G126&lt;=E126,Annuitätenrechner!$F$37-G126,E126))</f>
        <v>236.33000000000004</v>
      </c>
      <c r="I126" s="91">
        <f t="shared" si="13"/>
        <v>83042.60999999997</v>
      </c>
      <c r="J126" s="41"/>
      <c r="N126" s="56">
        <f ca="1" t="shared" si="14"/>
        <v>1</v>
      </c>
      <c r="O126" s="57">
        <f t="shared" si="15"/>
        <v>10</v>
      </c>
      <c r="P126" s="58">
        <f ca="1" t="shared" si="16"/>
        <v>2025</v>
      </c>
      <c r="R126" s="56">
        <f t="shared" si="17"/>
        <v>10</v>
      </c>
      <c r="S126" s="57" t="str">
        <f t="shared" si="18"/>
        <v/>
      </c>
      <c r="T126" s="58" t="str">
        <f t="shared" si="19"/>
        <v/>
      </c>
    </row>
    <row r="127" spans="2:20" s="7" customFormat="1" ht="12.75">
      <c r="B127" s="42"/>
      <c r="C127" s="89">
        <f t="shared" si="11"/>
        <v>86</v>
      </c>
      <c r="D127" s="90">
        <f ca="1" t="shared" si="10"/>
        <v>45962</v>
      </c>
      <c r="E127" s="71">
        <f t="shared" si="12"/>
        <v>83042.60999999997</v>
      </c>
      <c r="F127" s="71">
        <f>IF(E127="","",IF(Annuitätenrechner!$F$37&gt;=E127,E127+ROUND(E127*Annuitätenrechner!$E$21/Annuitätenrechner!$O$27,2),Annuitätenrechner!$F$37))</f>
        <v>583.33</v>
      </c>
      <c r="G127" s="71">
        <f>IF(E127="","",+ROUND(E127*Annuitätenrechner!$E$21/Annuitätenrechner!$O$27,2))</f>
        <v>346.01</v>
      </c>
      <c r="H127" s="71">
        <f>IF(E127="","",IF(Annuitätenrechner!$F$37-G127&lt;=E127,Annuitätenrechner!$F$37-G127,E127))</f>
        <v>237.32000000000005</v>
      </c>
      <c r="I127" s="91">
        <f t="shared" si="13"/>
        <v>82805.28999999996</v>
      </c>
      <c r="J127" s="41"/>
      <c r="N127" s="56">
        <f ca="1" t="shared" si="14"/>
        <v>1</v>
      </c>
      <c r="O127" s="57">
        <f t="shared" si="15"/>
        <v>11</v>
      </c>
      <c r="P127" s="58">
        <f ca="1" t="shared" si="16"/>
        <v>2025</v>
      </c>
      <c r="R127" s="56">
        <f t="shared" si="17"/>
        <v>11</v>
      </c>
      <c r="S127" s="57" t="str">
        <f t="shared" si="18"/>
        <v/>
      </c>
      <c r="T127" s="58" t="str">
        <f t="shared" si="19"/>
        <v/>
      </c>
    </row>
    <row r="128" spans="2:20" s="7" customFormat="1" ht="12.75">
      <c r="B128" s="42"/>
      <c r="C128" s="89">
        <f t="shared" si="11"/>
        <v>87</v>
      </c>
      <c r="D128" s="90">
        <f ca="1" t="shared" si="10"/>
        <v>45992</v>
      </c>
      <c r="E128" s="71">
        <f t="shared" si="12"/>
        <v>82805.28999999996</v>
      </c>
      <c r="F128" s="71">
        <f>IF(E128="","",IF(Annuitätenrechner!$F$37&gt;=E128,E128+ROUND(E128*Annuitätenrechner!$E$21/Annuitätenrechner!$O$27,2),Annuitätenrechner!$F$37))</f>
        <v>583.33</v>
      </c>
      <c r="G128" s="71">
        <f>IF(E128="","",+ROUND(E128*Annuitätenrechner!$E$21/Annuitätenrechner!$O$27,2))</f>
        <v>345.02</v>
      </c>
      <c r="H128" s="71">
        <f>IF(E128="","",IF(Annuitätenrechner!$F$37-G128&lt;=E128,Annuitätenrechner!$F$37-G128,E128))</f>
        <v>238.31000000000006</v>
      </c>
      <c r="I128" s="91">
        <f t="shared" si="13"/>
        <v>82566.97999999997</v>
      </c>
      <c r="J128" s="41"/>
      <c r="N128" s="56">
        <f ca="1" t="shared" si="14"/>
        <v>1</v>
      </c>
      <c r="O128" s="57">
        <f t="shared" si="15"/>
        <v>12</v>
      </c>
      <c r="P128" s="58">
        <f ca="1" t="shared" si="16"/>
        <v>2025</v>
      </c>
      <c r="R128" s="56">
        <f t="shared" si="17"/>
        <v>12</v>
      </c>
      <c r="S128" s="57" t="str">
        <f t="shared" si="18"/>
        <v/>
      </c>
      <c r="T128" s="58" t="str">
        <f t="shared" si="19"/>
        <v/>
      </c>
    </row>
    <row r="129" spans="2:20" s="7" customFormat="1" ht="12.75">
      <c r="B129" s="42"/>
      <c r="C129" s="89">
        <f t="shared" si="11"/>
        <v>88</v>
      </c>
      <c r="D129" s="90">
        <f ca="1" t="shared" si="10"/>
        <v>46023</v>
      </c>
      <c r="E129" s="71">
        <f t="shared" si="12"/>
        <v>82566.97999999997</v>
      </c>
      <c r="F129" s="71">
        <f>IF(E129="","",IF(Annuitätenrechner!$F$37&gt;=E129,E129+ROUND(E129*Annuitätenrechner!$E$21/Annuitätenrechner!$O$27,2),Annuitätenrechner!$F$37))</f>
        <v>583.33</v>
      </c>
      <c r="G129" s="71">
        <f>IF(E129="","",+ROUND(E129*Annuitätenrechner!$E$21/Annuitätenrechner!$O$27,2))</f>
        <v>344.03</v>
      </c>
      <c r="H129" s="71">
        <f>IF(E129="","",IF(Annuitätenrechner!$F$37-G129&lt;=E129,Annuitätenrechner!$F$37-G129,E129))</f>
        <v>239.30000000000007</v>
      </c>
      <c r="I129" s="91">
        <f t="shared" si="13"/>
        <v>82327.67999999996</v>
      </c>
      <c r="J129" s="41"/>
      <c r="N129" s="56">
        <f ca="1" t="shared" si="14"/>
        <v>1</v>
      </c>
      <c r="O129" s="57">
        <f t="shared" si="15"/>
        <v>1</v>
      </c>
      <c r="P129" s="58">
        <f ca="1" t="shared" si="16"/>
        <v>2026</v>
      </c>
      <c r="R129" s="56">
        <f t="shared" si="17"/>
        <v>1</v>
      </c>
      <c r="S129" s="57" t="str">
        <f t="shared" si="18"/>
        <v/>
      </c>
      <c r="T129" s="58" t="str">
        <f t="shared" si="19"/>
        <v/>
      </c>
    </row>
    <row r="130" spans="2:20" s="7" customFormat="1" ht="12.75">
      <c r="B130" s="42"/>
      <c r="C130" s="89">
        <f t="shared" si="11"/>
        <v>89</v>
      </c>
      <c r="D130" s="90">
        <f ca="1" t="shared" si="10"/>
        <v>46054</v>
      </c>
      <c r="E130" s="71">
        <f t="shared" si="12"/>
        <v>82327.67999999996</v>
      </c>
      <c r="F130" s="71">
        <f>IF(E130="","",IF(Annuitätenrechner!$F$37&gt;=E130,E130+ROUND(E130*Annuitätenrechner!$E$21/Annuitätenrechner!$O$27,2),Annuitätenrechner!$F$37))</f>
        <v>583.33</v>
      </c>
      <c r="G130" s="71">
        <f>IF(E130="","",+ROUND(E130*Annuitätenrechner!$E$21/Annuitätenrechner!$O$27,2))</f>
        <v>343.03</v>
      </c>
      <c r="H130" s="71">
        <f>IF(E130="","",IF(Annuitätenrechner!$F$37-G130&lt;=E130,Annuitätenrechner!$F$37-G130,E130))</f>
        <v>240.30000000000007</v>
      </c>
      <c r="I130" s="91">
        <f t="shared" si="13"/>
        <v>82087.37999999996</v>
      </c>
      <c r="J130" s="41"/>
      <c r="N130" s="56">
        <f ca="1" t="shared" si="14"/>
        <v>1</v>
      </c>
      <c r="O130" s="57">
        <f t="shared" si="15"/>
        <v>2</v>
      </c>
      <c r="P130" s="58">
        <f ca="1" t="shared" si="16"/>
        <v>2026</v>
      </c>
      <c r="R130" s="56">
        <f t="shared" si="17"/>
        <v>2</v>
      </c>
      <c r="S130" s="57" t="str">
        <f t="shared" si="18"/>
        <v/>
      </c>
      <c r="T130" s="58" t="str">
        <f t="shared" si="19"/>
        <v/>
      </c>
    </row>
    <row r="131" spans="2:20" s="7" customFormat="1" ht="12.75">
      <c r="B131" s="42"/>
      <c r="C131" s="89">
        <f t="shared" si="11"/>
        <v>90</v>
      </c>
      <c r="D131" s="90">
        <f ca="1" t="shared" si="10"/>
        <v>46082</v>
      </c>
      <c r="E131" s="71">
        <f t="shared" si="12"/>
        <v>82087.37999999996</v>
      </c>
      <c r="F131" s="71">
        <f>IF(E131="","",IF(Annuitätenrechner!$F$37&gt;=E131,E131+ROUND(E131*Annuitätenrechner!$E$21/Annuitätenrechner!$O$27,2),Annuitätenrechner!$F$37))</f>
        <v>583.33</v>
      </c>
      <c r="G131" s="71">
        <f>IF(E131="","",+ROUND(E131*Annuitätenrechner!$E$21/Annuitätenrechner!$O$27,2))</f>
        <v>342.03</v>
      </c>
      <c r="H131" s="71">
        <f>IF(E131="","",IF(Annuitätenrechner!$F$37-G131&lt;=E131,Annuitätenrechner!$F$37-G131,E131))</f>
        <v>241.30000000000007</v>
      </c>
      <c r="I131" s="91">
        <f t="shared" si="13"/>
        <v>81846.07999999996</v>
      </c>
      <c r="J131" s="41"/>
      <c r="N131" s="56">
        <f ca="1" t="shared" si="14"/>
        <v>1</v>
      </c>
      <c r="O131" s="57">
        <f t="shared" si="15"/>
        <v>3</v>
      </c>
      <c r="P131" s="58">
        <f ca="1" t="shared" si="16"/>
        <v>2026</v>
      </c>
      <c r="R131" s="56">
        <f t="shared" si="17"/>
        <v>3</v>
      </c>
      <c r="S131" s="57" t="str">
        <f t="shared" si="18"/>
        <v/>
      </c>
      <c r="T131" s="58" t="str">
        <f t="shared" si="19"/>
        <v/>
      </c>
    </row>
    <row r="132" spans="2:20" s="7" customFormat="1" ht="12.75">
      <c r="B132" s="42"/>
      <c r="C132" s="89">
        <f t="shared" si="11"/>
        <v>91</v>
      </c>
      <c r="D132" s="90">
        <f ca="1" t="shared" si="10"/>
        <v>46113</v>
      </c>
      <c r="E132" s="71">
        <f t="shared" si="12"/>
        <v>81846.07999999996</v>
      </c>
      <c r="F132" s="71">
        <f>IF(E132="","",IF(Annuitätenrechner!$F$37&gt;=E132,E132+ROUND(E132*Annuitätenrechner!$E$21/Annuitätenrechner!$O$27,2),Annuitätenrechner!$F$37))</f>
        <v>583.33</v>
      </c>
      <c r="G132" s="71">
        <f>IF(E132="","",+ROUND(E132*Annuitätenrechner!$E$21/Annuitätenrechner!$O$27,2))</f>
        <v>341.03</v>
      </c>
      <c r="H132" s="71">
        <f>IF(E132="","",IF(Annuitätenrechner!$F$37-G132&lt;=E132,Annuitätenrechner!$F$37-G132,E132))</f>
        <v>242.30000000000007</v>
      </c>
      <c r="I132" s="91">
        <f t="shared" si="13"/>
        <v>81603.77999999996</v>
      </c>
      <c r="J132" s="41"/>
      <c r="N132" s="56">
        <f ca="1" t="shared" si="14"/>
        <v>1</v>
      </c>
      <c r="O132" s="57">
        <f t="shared" si="15"/>
        <v>4</v>
      </c>
      <c r="P132" s="58">
        <f ca="1" t="shared" si="16"/>
        <v>2026</v>
      </c>
      <c r="R132" s="56">
        <f t="shared" si="17"/>
        <v>4</v>
      </c>
      <c r="S132" s="57" t="str">
        <f t="shared" si="18"/>
        <v/>
      </c>
      <c r="T132" s="58" t="str">
        <f t="shared" si="19"/>
        <v/>
      </c>
    </row>
    <row r="133" spans="2:20" s="7" customFormat="1" ht="12.75">
      <c r="B133" s="42"/>
      <c r="C133" s="89">
        <f t="shared" si="11"/>
        <v>92</v>
      </c>
      <c r="D133" s="90">
        <f ca="1" t="shared" si="10"/>
        <v>46143</v>
      </c>
      <c r="E133" s="71">
        <f t="shared" si="12"/>
        <v>81603.77999999996</v>
      </c>
      <c r="F133" s="71">
        <f>IF(E133="","",IF(Annuitätenrechner!$F$37&gt;=E133,E133+ROUND(E133*Annuitätenrechner!$E$21/Annuitätenrechner!$O$27,2),Annuitätenrechner!$F$37))</f>
        <v>583.33</v>
      </c>
      <c r="G133" s="71">
        <f>IF(E133="","",+ROUND(E133*Annuitätenrechner!$E$21/Annuitätenrechner!$O$27,2))</f>
        <v>340.02</v>
      </c>
      <c r="H133" s="71">
        <f>IF(E133="","",IF(Annuitätenrechner!$F$37-G133&lt;=E133,Annuitätenrechner!$F$37-G133,E133))</f>
        <v>243.31000000000006</v>
      </c>
      <c r="I133" s="91">
        <f t="shared" si="13"/>
        <v>81360.46999999996</v>
      </c>
      <c r="J133" s="41"/>
      <c r="N133" s="56">
        <f ca="1" t="shared" si="14"/>
        <v>1</v>
      </c>
      <c r="O133" s="57">
        <f t="shared" si="15"/>
        <v>5</v>
      </c>
      <c r="P133" s="58">
        <f ca="1" t="shared" si="16"/>
        <v>2026</v>
      </c>
      <c r="R133" s="56">
        <f t="shared" si="17"/>
        <v>5</v>
      </c>
      <c r="S133" s="57" t="str">
        <f t="shared" si="18"/>
        <v/>
      </c>
      <c r="T133" s="58" t="str">
        <f t="shared" si="19"/>
        <v/>
      </c>
    </row>
    <row r="134" spans="2:20" s="7" customFormat="1" ht="12.75">
      <c r="B134" s="42"/>
      <c r="C134" s="89">
        <f t="shared" si="11"/>
        <v>93</v>
      </c>
      <c r="D134" s="90">
        <f ca="1" t="shared" si="10"/>
        <v>46174</v>
      </c>
      <c r="E134" s="71">
        <f t="shared" si="12"/>
        <v>81360.46999999996</v>
      </c>
      <c r="F134" s="71">
        <f>IF(E134="","",IF(Annuitätenrechner!$F$37&gt;=E134,E134+ROUND(E134*Annuitätenrechner!$E$21/Annuitätenrechner!$O$27,2),Annuitätenrechner!$F$37))</f>
        <v>583.33</v>
      </c>
      <c r="G134" s="71">
        <f>IF(E134="","",+ROUND(E134*Annuitätenrechner!$E$21/Annuitätenrechner!$O$27,2))</f>
        <v>339</v>
      </c>
      <c r="H134" s="71">
        <f>IF(E134="","",IF(Annuitätenrechner!$F$37-G134&lt;=E134,Annuitätenrechner!$F$37-G134,E134))</f>
        <v>244.33000000000004</v>
      </c>
      <c r="I134" s="91">
        <f t="shared" si="13"/>
        <v>81116.13999999996</v>
      </c>
      <c r="J134" s="41"/>
      <c r="N134" s="56">
        <f ca="1" t="shared" si="14"/>
        <v>1</v>
      </c>
      <c r="O134" s="57">
        <f t="shared" si="15"/>
        <v>6</v>
      </c>
      <c r="P134" s="58">
        <f ca="1" t="shared" si="16"/>
        <v>2026</v>
      </c>
      <c r="R134" s="56">
        <f t="shared" si="17"/>
        <v>6</v>
      </c>
      <c r="S134" s="57" t="str">
        <f t="shared" si="18"/>
        <v/>
      </c>
      <c r="T134" s="58" t="str">
        <f t="shared" si="19"/>
        <v/>
      </c>
    </row>
    <row r="135" spans="2:20" s="7" customFormat="1" ht="12.75">
      <c r="B135" s="42"/>
      <c r="C135" s="89">
        <f t="shared" si="11"/>
        <v>94</v>
      </c>
      <c r="D135" s="90">
        <f ca="1" t="shared" si="10"/>
        <v>46204</v>
      </c>
      <c r="E135" s="71">
        <f t="shared" si="12"/>
        <v>81116.13999999996</v>
      </c>
      <c r="F135" s="71">
        <f>IF(E135="","",IF(Annuitätenrechner!$F$37&gt;=E135,E135+ROUND(E135*Annuitätenrechner!$E$21/Annuitätenrechner!$O$27,2),Annuitätenrechner!$F$37))</f>
        <v>583.33</v>
      </c>
      <c r="G135" s="71">
        <f>IF(E135="","",+ROUND(E135*Annuitätenrechner!$E$21/Annuitätenrechner!$O$27,2))</f>
        <v>337.98</v>
      </c>
      <c r="H135" s="71">
        <f>IF(E135="","",IF(Annuitätenrechner!$F$37-G135&lt;=E135,Annuitätenrechner!$F$37-G135,E135))</f>
        <v>245.35000000000002</v>
      </c>
      <c r="I135" s="91">
        <f t="shared" si="13"/>
        <v>80870.78999999995</v>
      </c>
      <c r="J135" s="41"/>
      <c r="N135" s="56">
        <f ca="1" t="shared" si="14"/>
        <v>1</v>
      </c>
      <c r="O135" s="57">
        <f t="shared" si="15"/>
        <v>7</v>
      </c>
      <c r="P135" s="58">
        <f ca="1" t="shared" si="16"/>
        <v>2026</v>
      </c>
      <c r="R135" s="56">
        <f t="shared" si="17"/>
        <v>7</v>
      </c>
      <c r="S135" s="57" t="str">
        <f t="shared" si="18"/>
        <v/>
      </c>
      <c r="T135" s="58" t="str">
        <f t="shared" si="19"/>
        <v/>
      </c>
    </row>
    <row r="136" spans="2:20" s="7" customFormat="1" ht="12.75">
      <c r="B136" s="42"/>
      <c r="C136" s="89">
        <f t="shared" si="11"/>
        <v>95</v>
      </c>
      <c r="D136" s="90">
        <f ca="1" t="shared" si="10"/>
        <v>46235</v>
      </c>
      <c r="E136" s="71">
        <f t="shared" si="12"/>
        <v>80870.78999999995</v>
      </c>
      <c r="F136" s="71">
        <f>IF(E136="","",IF(Annuitätenrechner!$F$37&gt;=E136,E136+ROUND(E136*Annuitätenrechner!$E$21/Annuitätenrechner!$O$27,2),Annuitätenrechner!$F$37))</f>
        <v>583.33</v>
      </c>
      <c r="G136" s="71">
        <f>IF(E136="","",+ROUND(E136*Annuitätenrechner!$E$21/Annuitätenrechner!$O$27,2))</f>
        <v>336.96</v>
      </c>
      <c r="H136" s="71">
        <f>IF(E136="","",IF(Annuitätenrechner!$F$37-G136&lt;=E136,Annuitätenrechner!$F$37-G136,E136))</f>
        <v>246.37000000000006</v>
      </c>
      <c r="I136" s="91">
        <f t="shared" si="13"/>
        <v>80624.41999999995</v>
      </c>
      <c r="J136" s="41"/>
      <c r="N136" s="56">
        <f ca="1" t="shared" si="14"/>
        <v>1</v>
      </c>
      <c r="O136" s="57">
        <f t="shared" si="15"/>
        <v>8</v>
      </c>
      <c r="P136" s="58">
        <f ca="1" t="shared" si="16"/>
        <v>2026</v>
      </c>
      <c r="R136" s="56">
        <f t="shared" si="17"/>
        <v>8</v>
      </c>
      <c r="S136" s="57" t="str">
        <f t="shared" si="18"/>
        <v/>
      </c>
      <c r="T136" s="58" t="str">
        <f t="shared" si="19"/>
        <v/>
      </c>
    </row>
    <row r="137" spans="2:20" s="7" customFormat="1" ht="12.75">
      <c r="B137" s="42"/>
      <c r="C137" s="89">
        <f t="shared" si="11"/>
        <v>96</v>
      </c>
      <c r="D137" s="90">
        <f ca="1" t="shared" si="10"/>
        <v>46266</v>
      </c>
      <c r="E137" s="71">
        <f t="shared" si="12"/>
        <v>80624.41999999995</v>
      </c>
      <c r="F137" s="71">
        <f>IF(E137="","",IF(Annuitätenrechner!$F$37&gt;=E137,E137+ROUND(E137*Annuitätenrechner!$E$21/Annuitätenrechner!$O$27,2),Annuitätenrechner!$F$37))</f>
        <v>583.33</v>
      </c>
      <c r="G137" s="71">
        <f>IF(E137="","",+ROUND(E137*Annuitätenrechner!$E$21/Annuitätenrechner!$O$27,2))</f>
        <v>335.94</v>
      </c>
      <c r="H137" s="71">
        <f>IF(E137="","",IF(Annuitätenrechner!$F$37-G137&lt;=E137,Annuitätenrechner!$F$37-G137,E137))</f>
        <v>247.39000000000004</v>
      </c>
      <c r="I137" s="91">
        <f t="shared" si="13"/>
        <v>80377.02999999996</v>
      </c>
      <c r="J137" s="41"/>
      <c r="N137" s="56">
        <f ca="1" t="shared" si="14"/>
        <v>1</v>
      </c>
      <c r="O137" s="57">
        <f t="shared" si="15"/>
        <v>9</v>
      </c>
      <c r="P137" s="58">
        <f ca="1" t="shared" si="16"/>
        <v>2026</v>
      </c>
      <c r="R137" s="56">
        <f t="shared" si="17"/>
        <v>9</v>
      </c>
      <c r="S137" s="57" t="str">
        <f t="shared" si="18"/>
        <v/>
      </c>
      <c r="T137" s="58" t="str">
        <f t="shared" si="19"/>
        <v/>
      </c>
    </row>
    <row r="138" spans="2:20" s="7" customFormat="1" ht="12.75">
      <c r="B138" s="42"/>
      <c r="C138" s="89">
        <f t="shared" si="11"/>
        <v>97</v>
      </c>
      <c r="D138" s="90">
        <f ca="1" t="shared" si="10"/>
        <v>46296</v>
      </c>
      <c r="E138" s="71">
        <f t="shared" si="12"/>
        <v>80377.02999999996</v>
      </c>
      <c r="F138" s="71">
        <f>IF(E138="","",IF(Annuitätenrechner!$F$37&gt;=E138,E138+ROUND(E138*Annuitätenrechner!$E$21/Annuitätenrechner!$O$27,2),Annuitätenrechner!$F$37))</f>
        <v>583.33</v>
      </c>
      <c r="G138" s="71">
        <f>IF(E138="","",+ROUND(E138*Annuitätenrechner!$E$21/Annuitätenrechner!$O$27,2))</f>
        <v>334.9</v>
      </c>
      <c r="H138" s="71">
        <f>IF(E138="","",IF(Annuitätenrechner!$F$37-G138&lt;=E138,Annuitätenrechner!$F$37-G138,E138))</f>
        <v>248.43000000000006</v>
      </c>
      <c r="I138" s="91">
        <f t="shared" si="13"/>
        <v>80128.59999999996</v>
      </c>
      <c r="J138" s="41"/>
      <c r="N138" s="56">
        <f ca="1" t="shared" si="14"/>
        <v>1</v>
      </c>
      <c r="O138" s="57">
        <f t="shared" si="15"/>
        <v>10</v>
      </c>
      <c r="P138" s="58">
        <f ca="1" t="shared" si="16"/>
        <v>2026</v>
      </c>
      <c r="R138" s="56">
        <f t="shared" si="17"/>
        <v>10</v>
      </c>
      <c r="S138" s="57" t="str">
        <f t="shared" si="18"/>
        <v/>
      </c>
      <c r="T138" s="58" t="str">
        <f t="shared" si="19"/>
        <v/>
      </c>
    </row>
    <row r="139" spans="2:20" s="7" customFormat="1" ht="12.75">
      <c r="B139" s="42"/>
      <c r="C139" s="89">
        <f t="shared" si="11"/>
        <v>98</v>
      </c>
      <c r="D139" s="90">
        <f ca="1" t="shared" si="10"/>
        <v>46327</v>
      </c>
      <c r="E139" s="71">
        <f t="shared" si="12"/>
        <v>80128.59999999996</v>
      </c>
      <c r="F139" s="71">
        <f>IF(E139="","",IF(Annuitätenrechner!$F$37&gt;=E139,E139+ROUND(E139*Annuitätenrechner!$E$21/Annuitätenrechner!$O$27,2),Annuitätenrechner!$F$37))</f>
        <v>583.33</v>
      </c>
      <c r="G139" s="71">
        <f>IF(E139="","",+ROUND(E139*Annuitätenrechner!$E$21/Annuitätenrechner!$O$27,2))</f>
        <v>333.87</v>
      </c>
      <c r="H139" s="71">
        <f>IF(E139="","",IF(Annuitätenrechner!$F$37-G139&lt;=E139,Annuitätenrechner!$F$37-G139,E139))</f>
        <v>249.46000000000004</v>
      </c>
      <c r="I139" s="91">
        <f t="shared" si="13"/>
        <v>79879.13999999996</v>
      </c>
      <c r="J139" s="41"/>
      <c r="N139" s="56">
        <f ca="1" t="shared" si="14"/>
        <v>1</v>
      </c>
      <c r="O139" s="57">
        <f t="shared" si="15"/>
        <v>11</v>
      </c>
      <c r="P139" s="58">
        <f ca="1" t="shared" si="16"/>
        <v>2026</v>
      </c>
      <c r="R139" s="56">
        <f t="shared" si="17"/>
        <v>11</v>
      </c>
      <c r="S139" s="57" t="str">
        <f t="shared" si="18"/>
        <v/>
      </c>
      <c r="T139" s="58" t="str">
        <f t="shared" si="19"/>
        <v/>
      </c>
    </row>
    <row r="140" spans="2:20" s="7" customFormat="1" ht="12.75">
      <c r="B140" s="42"/>
      <c r="C140" s="89">
        <f t="shared" si="11"/>
        <v>99</v>
      </c>
      <c r="D140" s="90">
        <f ca="1" t="shared" si="10"/>
        <v>46357</v>
      </c>
      <c r="E140" s="71">
        <f t="shared" si="12"/>
        <v>79879.13999999996</v>
      </c>
      <c r="F140" s="71">
        <f>IF(E140="","",IF(Annuitätenrechner!$F$37&gt;=E140,E140+ROUND(E140*Annuitätenrechner!$E$21/Annuitätenrechner!$O$27,2),Annuitätenrechner!$F$37))</f>
        <v>583.33</v>
      </c>
      <c r="G140" s="71">
        <f>IF(E140="","",+ROUND(E140*Annuitätenrechner!$E$21/Annuitätenrechner!$O$27,2))</f>
        <v>332.83</v>
      </c>
      <c r="H140" s="71">
        <f>IF(E140="","",IF(Annuitätenrechner!$F$37-G140&lt;=E140,Annuitätenrechner!$F$37-G140,E140))</f>
        <v>250.50000000000006</v>
      </c>
      <c r="I140" s="91">
        <f t="shared" si="13"/>
        <v>79628.63999999996</v>
      </c>
      <c r="J140" s="41"/>
      <c r="N140" s="56">
        <f ca="1" t="shared" si="14"/>
        <v>1</v>
      </c>
      <c r="O140" s="57">
        <f t="shared" si="15"/>
        <v>12</v>
      </c>
      <c r="P140" s="58">
        <f ca="1" t="shared" si="16"/>
        <v>2026</v>
      </c>
      <c r="R140" s="56">
        <f t="shared" si="17"/>
        <v>12</v>
      </c>
      <c r="S140" s="57" t="str">
        <f t="shared" si="18"/>
        <v/>
      </c>
      <c r="T140" s="58" t="str">
        <f t="shared" si="19"/>
        <v/>
      </c>
    </row>
    <row r="141" spans="2:20" s="7" customFormat="1" ht="12.75">
      <c r="B141" s="42"/>
      <c r="C141" s="89">
        <f t="shared" si="11"/>
        <v>100</v>
      </c>
      <c r="D141" s="90">
        <f ca="1" t="shared" si="10"/>
        <v>46388</v>
      </c>
      <c r="E141" s="71">
        <f t="shared" si="12"/>
        <v>79628.63999999996</v>
      </c>
      <c r="F141" s="71">
        <f>IF(E141="","",IF(Annuitätenrechner!$F$37&gt;=E141,E141+ROUND(E141*Annuitätenrechner!$E$21/Annuitätenrechner!$O$27,2),Annuitätenrechner!$F$37))</f>
        <v>583.33</v>
      </c>
      <c r="G141" s="71">
        <f>IF(E141="","",+ROUND(E141*Annuitätenrechner!$E$21/Annuitätenrechner!$O$27,2))</f>
        <v>331.79</v>
      </c>
      <c r="H141" s="71">
        <f>IF(E141="","",IF(Annuitätenrechner!$F$37-G141&lt;=E141,Annuitätenrechner!$F$37-G141,E141))</f>
        <v>251.54000000000002</v>
      </c>
      <c r="I141" s="91">
        <f t="shared" si="13"/>
        <v>79377.09999999996</v>
      </c>
      <c r="J141" s="41"/>
      <c r="N141" s="56">
        <f ca="1" t="shared" si="14"/>
        <v>1</v>
      </c>
      <c r="O141" s="57">
        <f t="shared" si="15"/>
        <v>1</v>
      </c>
      <c r="P141" s="58">
        <f ca="1" t="shared" si="16"/>
        <v>2027</v>
      </c>
      <c r="R141" s="56">
        <f t="shared" si="17"/>
        <v>1</v>
      </c>
      <c r="S141" s="57" t="str">
        <f t="shared" si="18"/>
        <v/>
      </c>
      <c r="T141" s="58" t="str">
        <f t="shared" si="19"/>
        <v/>
      </c>
    </row>
    <row r="142" spans="2:20" s="7" customFormat="1" ht="12.75">
      <c r="B142" s="42"/>
      <c r="C142" s="89">
        <f t="shared" si="11"/>
        <v>101</v>
      </c>
      <c r="D142" s="90">
        <f ca="1" t="shared" si="10"/>
        <v>46419</v>
      </c>
      <c r="E142" s="71">
        <f t="shared" si="12"/>
        <v>79377.09999999996</v>
      </c>
      <c r="F142" s="71">
        <f>IF(E142="","",IF(Annuitätenrechner!$F$37&gt;=E142,E142+ROUND(E142*Annuitätenrechner!$E$21/Annuitätenrechner!$O$27,2),Annuitätenrechner!$F$37))</f>
        <v>583.33</v>
      </c>
      <c r="G142" s="71">
        <f>IF(E142="","",+ROUND(E142*Annuitätenrechner!$E$21/Annuitätenrechner!$O$27,2))</f>
        <v>330.74</v>
      </c>
      <c r="H142" s="71">
        <f>IF(E142="","",IF(Annuitätenrechner!$F$37-G142&lt;=E142,Annuitätenrechner!$F$37-G142,E142))</f>
        <v>252.59000000000003</v>
      </c>
      <c r="I142" s="91">
        <f t="shared" si="13"/>
        <v>79124.50999999997</v>
      </c>
      <c r="J142" s="41"/>
      <c r="N142" s="56">
        <f ca="1" t="shared" si="14"/>
        <v>1</v>
      </c>
      <c r="O142" s="57">
        <f t="shared" si="15"/>
        <v>2</v>
      </c>
      <c r="P142" s="58">
        <f ca="1" t="shared" si="16"/>
        <v>2027</v>
      </c>
      <c r="R142" s="56">
        <f t="shared" si="17"/>
        <v>2</v>
      </c>
      <c r="S142" s="57" t="str">
        <f t="shared" si="18"/>
        <v/>
      </c>
      <c r="T142" s="58" t="str">
        <f t="shared" si="19"/>
        <v/>
      </c>
    </row>
    <row r="143" spans="2:20" s="7" customFormat="1" ht="12.75">
      <c r="B143" s="42"/>
      <c r="C143" s="89">
        <f t="shared" si="11"/>
        <v>102</v>
      </c>
      <c r="D143" s="90">
        <f ca="1" t="shared" si="10"/>
        <v>46447</v>
      </c>
      <c r="E143" s="71">
        <f t="shared" si="12"/>
        <v>79124.50999999997</v>
      </c>
      <c r="F143" s="71">
        <f>IF(E143="","",IF(Annuitätenrechner!$F$37&gt;=E143,E143+ROUND(E143*Annuitätenrechner!$E$21/Annuitätenrechner!$O$27,2),Annuitätenrechner!$F$37))</f>
        <v>583.33</v>
      </c>
      <c r="G143" s="71">
        <f>IF(E143="","",+ROUND(E143*Annuitätenrechner!$E$21/Annuitätenrechner!$O$27,2))</f>
        <v>329.69</v>
      </c>
      <c r="H143" s="71">
        <f>IF(E143="","",IF(Annuitätenrechner!$F$37-G143&lt;=E143,Annuitätenrechner!$F$37-G143,E143))</f>
        <v>253.64000000000004</v>
      </c>
      <c r="I143" s="91">
        <f t="shared" si="13"/>
        <v>78870.86999999997</v>
      </c>
      <c r="J143" s="41"/>
      <c r="N143" s="56">
        <f ca="1" t="shared" si="14"/>
        <v>1</v>
      </c>
      <c r="O143" s="57">
        <f t="shared" si="15"/>
        <v>3</v>
      </c>
      <c r="P143" s="58">
        <f ca="1" t="shared" si="16"/>
        <v>2027</v>
      </c>
      <c r="R143" s="56">
        <f t="shared" si="17"/>
        <v>3</v>
      </c>
      <c r="S143" s="57" t="str">
        <f t="shared" si="18"/>
        <v/>
      </c>
      <c r="T143" s="58" t="str">
        <f t="shared" si="19"/>
        <v/>
      </c>
    </row>
    <row r="144" spans="2:20" s="7" customFormat="1" ht="12.75">
      <c r="B144" s="42"/>
      <c r="C144" s="89">
        <f t="shared" si="11"/>
        <v>103</v>
      </c>
      <c r="D144" s="90">
        <f ca="1" t="shared" si="10"/>
        <v>46478</v>
      </c>
      <c r="E144" s="71">
        <f t="shared" si="12"/>
        <v>78870.86999999997</v>
      </c>
      <c r="F144" s="71">
        <f>IF(E144="","",IF(Annuitätenrechner!$F$37&gt;=E144,E144+ROUND(E144*Annuitätenrechner!$E$21/Annuitätenrechner!$O$27,2),Annuitätenrechner!$F$37))</f>
        <v>583.33</v>
      </c>
      <c r="G144" s="71">
        <f>IF(E144="","",+ROUND(E144*Annuitätenrechner!$E$21/Annuitätenrechner!$O$27,2))</f>
        <v>328.63</v>
      </c>
      <c r="H144" s="71">
        <f>IF(E144="","",IF(Annuitätenrechner!$F$37-G144&lt;=E144,Annuitätenrechner!$F$37-G144,E144))</f>
        <v>254.70000000000005</v>
      </c>
      <c r="I144" s="91">
        <f t="shared" si="13"/>
        <v>78616.16999999997</v>
      </c>
      <c r="J144" s="41"/>
      <c r="N144" s="56">
        <f ca="1" t="shared" si="14"/>
        <v>1</v>
      </c>
      <c r="O144" s="57">
        <f t="shared" si="15"/>
        <v>4</v>
      </c>
      <c r="P144" s="58">
        <f ca="1" t="shared" si="16"/>
        <v>2027</v>
      </c>
      <c r="R144" s="56">
        <f t="shared" si="17"/>
        <v>4</v>
      </c>
      <c r="S144" s="57" t="str">
        <f t="shared" si="18"/>
        <v/>
      </c>
      <c r="T144" s="58" t="str">
        <f t="shared" si="19"/>
        <v/>
      </c>
    </row>
    <row r="145" spans="2:20" s="7" customFormat="1" ht="12.75">
      <c r="B145" s="42"/>
      <c r="C145" s="89">
        <f t="shared" si="11"/>
        <v>104</v>
      </c>
      <c r="D145" s="90">
        <f ca="1" t="shared" si="10"/>
        <v>46508</v>
      </c>
      <c r="E145" s="71">
        <f t="shared" si="12"/>
        <v>78616.16999999997</v>
      </c>
      <c r="F145" s="71">
        <f>IF(E145="","",IF(Annuitätenrechner!$F$37&gt;=E145,E145+ROUND(E145*Annuitätenrechner!$E$21/Annuitätenrechner!$O$27,2),Annuitätenrechner!$F$37))</f>
        <v>583.33</v>
      </c>
      <c r="G145" s="71">
        <f>IF(E145="","",+ROUND(E145*Annuitätenrechner!$E$21/Annuitätenrechner!$O$27,2))</f>
        <v>327.57</v>
      </c>
      <c r="H145" s="71">
        <f>IF(E145="","",IF(Annuitätenrechner!$F$37-G145&lt;=E145,Annuitätenrechner!$F$37-G145,E145))</f>
        <v>255.76000000000005</v>
      </c>
      <c r="I145" s="91">
        <f t="shared" si="13"/>
        <v>78360.40999999997</v>
      </c>
      <c r="J145" s="41"/>
      <c r="N145" s="56">
        <f ca="1" t="shared" si="14"/>
        <v>1</v>
      </c>
      <c r="O145" s="57">
        <f t="shared" si="15"/>
        <v>5</v>
      </c>
      <c r="P145" s="58">
        <f ca="1" t="shared" si="16"/>
        <v>2027</v>
      </c>
      <c r="R145" s="56">
        <f t="shared" si="17"/>
        <v>5</v>
      </c>
      <c r="S145" s="57" t="str">
        <f t="shared" si="18"/>
        <v/>
      </c>
      <c r="T145" s="58" t="str">
        <f t="shared" si="19"/>
        <v/>
      </c>
    </row>
    <row r="146" spans="2:20" s="7" customFormat="1" ht="12.75">
      <c r="B146" s="42"/>
      <c r="C146" s="89">
        <f t="shared" si="11"/>
        <v>105</v>
      </c>
      <c r="D146" s="90">
        <f ca="1" t="shared" si="10"/>
        <v>46539</v>
      </c>
      <c r="E146" s="71">
        <f t="shared" si="12"/>
        <v>78360.40999999997</v>
      </c>
      <c r="F146" s="71">
        <f>IF(E146="","",IF(Annuitätenrechner!$F$37&gt;=E146,E146+ROUND(E146*Annuitätenrechner!$E$21/Annuitätenrechner!$O$27,2),Annuitätenrechner!$F$37))</f>
        <v>583.33</v>
      </c>
      <c r="G146" s="71">
        <f>IF(E146="","",+ROUND(E146*Annuitätenrechner!$E$21/Annuitätenrechner!$O$27,2))</f>
        <v>326.5</v>
      </c>
      <c r="H146" s="71">
        <f>IF(E146="","",IF(Annuitätenrechner!$F$37-G146&lt;=E146,Annuitätenrechner!$F$37-G146,E146))</f>
        <v>256.83000000000004</v>
      </c>
      <c r="I146" s="91">
        <f t="shared" si="13"/>
        <v>78103.57999999997</v>
      </c>
      <c r="J146" s="41"/>
      <c r="N146" s="56">
        <f ca="1" t="shared" si="14"/>
        <v>1</v>
      </c>
      <c r="O146" s="57">
        <f t="shared" si="15"/>
        <v>6</v>
      </c>
      <c r="P146" s="58">
        <f ca="1" t="shared" si="16"/>
        <v>2027</v>
      </c>
      <c r="R146" s="56">
        <f t="shared" si="17"/>
        <v>6</v>
      </c>
      <c r="S146" s="57" t="str">
        <f t="shared" si="18"/>
        <v/>
      </c>
      <c r="T146" s="58" t="str">
        <f t="shared" si="19"/>
        <v/>
      </c>
    </row>
    <row r="147" spans="2:20" s="7" customFormat="1" ht="12.75">
      <c r="B147" s="42"/>
      <c r="C147" s="89">
        <f t="shared" si="11"/>
        <v>106</v>
      </c>
      <c r="D147" s="90">
        <f ca="1" t="shared" si="10"/>
        <v>46569</v>
      </c>
      <c r="E147" s="71">
        <f t="shared" si="12"/>
        <v>78103.57999999997</v>
      </c>
      <c r="F147" s="71">
        <f>IF(E147="","",IF(Annuitätenrechner!$F$37&gt;=E147,E147+ROUND(E147*Annuitätenrechner!$E$21/Annuitätenrechner!$O$27,2),Annuitätenrechner!$F$37))</f>
        <v>583.33</v>
      </c>
      <c r="G147" s="71">
        <f>IF(E147="","",+ROUND(E147*Annuitätenrechner!$E$21/Annuitätenrechner!$O$27,2))</f>
        <v>325.43</v>
      </c>
      <c r="H147" s="71">
        <f>IF(E147="","",IF(Annuitätenrechner!$F$37-G147&lt;=E147,Annuitätenrechner!$F$37-G147,E147))</f>
        <v>257.90000000000003</v>
      </c>
      <c r="I147" s="91">
        <f t="shared" si="13"/>
        <v>77845.67999999998</v>
      </c>
      <c r="J147" s="41"/>
      <c r="N147" s="56">
        <f ca="1" t="shared" si="14"/>
        <v>1</v>
      </c>
      <c r="O147" s="57">
        <f t="shared" si="15"/>
        <v>7</v>
      </c>
      <c r="P147" s="58">
        <f ca="1" t="shared" si="16"/>
        <v>2027</v>
      </c>
      <c r="R147" s="56">
        <f t="shared" si="17"/>
        <v>7</v>
      </c>
      <c r="S147" s="57" t="str">
        <f t="shared" si="18"/>
        <v/>
      </c>
      <c r="T147" s="58" t="str">
        <f t="shared" si="19"/>
        <v/>
      </c>
    </row>
    <row r="148" spans="2:20" s="7" customFormat="1" ht="12.75">
      <c r="B148" s="42"/>
      <c r="C148" s="89">
        <f t="shared" si="11"/>
        <v>107</v>
      </c>
      <c r="D148" s="90">
        <f ca="1" t="shared" si="10"/>
        <v>46600</v>
      </c>
      <c r="E148" s="71">
        <f t="shared" si="12"/>
        <v>77845.67999999998</v>
      </c>
      <c r="F148" s="71">
        <f>IF(E148="","",IF(Annuitätenrechner!$F$37&gt;=E148,E148+ROUND(E148*Annuitätenrechner!$E$21/Annuitätenrechner!$O$27,2),Annuitätenrechner!$F$37))</f>
        <v>583.33</v>
      </c>
      <c r="G148" s="71">
        <f>IF(E148="","",+ROUND(E148*Annuitätenrechner!$E$21/Annuitätenrechner!$O$27,2))</f>
        <v>324.36</v>
      </c>
      <c r="H148" s="71">
        <f>IF(E148="","",IF(Annuitätenrechner!$F$37-G148&lt;=E148,Annuitätenrechner!$F$37-G148,E148))</f>
        <v>258.97</v>
      </c>
      <c r="I148" s="91">
        <f t="shared" si="13"/>
        <v>77586.70999999998</v>
      </c>
      <c r="J148" s="41"/>
      <c r="N148" s="56">
        <f ca="1" t="shared" si="14"/>
        <v>1</v>
      </c>
      <c r="O148" s="57">
        <f t="shared" si="15"/>
        <v>8</v>
      </c>
      <c r="P148" s="58">
        <f ca="1" t="shared" si="16"/>
        <v>2027</v>
      </c>
      <c r="R148" s="56">
        <f t="shared" si="17"/>
        <v>8</v>
      </c>
      <c r="S148" s="57" t="str">
        <f t="shared" si="18"/>
        <v/>
      </c>
      <c r="T148" s="58" t="str">
        <f t="shared" si="19"/>
        <v/>
      </c>
    </row>
    <row r="149" spans="2:20" s="7" customFormat="1" ht="12.75">
      <c r="B149" s="42"/>
      <c r="C149" s="89">
        <f t="shared" si="11"/>
        <v>108</v>
      </c>
      <c r="D149" s="90">
        <f ca="1" t="shared" si="10"/>
        <v>46631</v>
      </c>
      <c r="E149" s="71">
        <f t="shared" si="12"/>
        <v>77586.70999999998</v>
      </c>
      <c r="F149" s="71">
        <f>IF(E149="","",IF(Annuitätenrechner!$F$37&gt;=E149,E149+ROUND(E149*Annuitätenrechner!$E$21/Annuitätenrechner!$O$27,2),Annuitätenrechner!$F$37))</f>
        <v>583.33</v>
      </c>
      <c r="G149" s="71">
        <f>IF(E149="","",+ROUND(E149*Annuitätenrechner!$E$21/Annuitätenrechner!$O$27,2))</f>
        <v>323.28</v>
      </c>
      <c r="H149" s="71">
        <f>IF(E149="","",IF(Annuitätenrechner!$F$37-G149&lt;=E149,Annuitätenrechner!$F$37-G149,E149))</f>
        <v>260.05000000000007</v>
      </c>
      <c r="I149" s="91">
        <f t="shared" si="13"/>
        <v>77326.65999999997</v>
      </c>
      <c r="J149" s="41"/>
      <c r="N149" s="56">
        <f ca="1" t="shared" si="14"/>
        <v>1</v>
      </c>
      <c r="O149" s="57">
        <f t="shared" si="15"/>
        <v>9</v>
      </c>
      <c r="P149" s="58">
        <f ca="1" t="shared" si="16"/>
        <v>2027</v>
      </c>
      <c r="R149" s="56">
        <f t="shared" si="17"/>
        <v>9</v>
      </c>
      <c r="S149" s="57" t="str">
        <f t="shared" si="18"/>
        <v/>
      </c>
      <c r="T149" s="58" t="str">
        <f t="shared" si="19"/>
        <v/>
      </c>
    </row>
    <row r="150" spans="2:20" s="7" customFormat="1" ht="12.75">
      <c r="B150" s="42"/>
      <c r="C150" s="89">
        <f t="shared" si="11"/>
        <v>109</v>
      </c>
      <c r="D150" s="90">
        <f ca="1" t="shared" si="10"/>
        <v>46661</v>
      </c>
      <c r="E150" s="71">
        <f t="shared" si="12"/>
        <v>77326.65999999997</v>
      </c>
      <c r="F150" s="71">
        <f>IF(E150="","",IF(Annuitätenrechner!$F$37&gt;=E150,E150+ROUND(E150*Annuitätenrechner!$E$21/Annuitätenrechner!$O$27,2),Annuitätenrechner!$F$37))</f>
        <v>583.33</v>
      </c>
      <c r="G150" s="71">
        <f>IF(E150="","",+ROUND(E150*Annuitätenrechner!$E$21/Annuitätenrechner!$O$27,2))</f>
        <v>322.19</v>
      </c>
      <c r="H150" s="71">
        <f>IF(E150="","",IF(Annuitätenrechner!$F$37-G150&lt;=E150,Annuitätenrechner!$F$37-G150,E150))</f>
        <v>261.14000000000004</v>
      </c>
      <c r="I150" s="91">
        <f t="shared" si="13"/>
        <v>77065.51999999997</v>
      </c>
      <c r="J150" s="41"/>
      <c r="N150" s="56">
        <f ca="1" t="shared" si="14"/>
        <v>1</v>
      </c>
      <c r="O150" s="57">
        <f t="shared" si="15"/>
        <v>10</v>
      </c>
      <c r="P150" s="58">
        <f ca="1" t="shared" si="16"/>
        <v>2027</v>
      </c>
      <c r="R150" s="56">
        <f t="shared" si="17"/>
        <v>10</v>
      </c>
      <c r="S150" s="57" t="str">
        <f t="shared" si="18"/>
        <v/>
      </c>
      <c r="T150" s="58" t="str">
        <f t="shared" si="19"/>
        <v/>
      </c>
    </row>
    <row r="151" spans="2:20" s="7" customFormat="1" ht="12.75">
      <c r="B151" s="42"/>
      <c r="C151" s="89">
        <f t="shared" si="11"/>
        <v>110</v>
      </c>
      <c r="D151" s="90">
        <f ca="1" t="shared" si="10"/>
        <v>46692</v>
      </c>
      <c r="E151" s="71">
        <f t="shared" si="12"/>
        <v>77065.51999999997</v>
      </c>
      <c r="F151" s="71">
        <f>IF(E151="","",IF(Annuitätenrechner!$F$37&gt;=E151,E151+ROUND(E151*Annuitätenrechner!$E$21/Annuitätenrechner!$O$27,2),Annuitätenrechner!$F$37))</f>
        <v>583.33</v>
      </c>
      <c r="G151" s="71">
        <f>IF(E151="","",+ROUND(E151*Annuitätenrechner!$E$21/Annuitätenrechner!$O$27,2))</f>
        <v>321.11</v>
      </c>
      <c r="H151" s="71">
        <f>IF(E151="","",IF(Annuitätenrechner!$F$37-G151&lt;=E151,Annuitätenrechner!$F$37-G151,E151))</f>
        <v>262.22</v>
      </c>
      <c r="I151" s="91">
        <f t="shared" si="13"/>
        <v>76803.29999999997</v>
      </c>
      <c r="J151" s="41"/>
      <c r="N151" s="56">
        <f ca="1" t="shared" si="14"/>
        <v>1</v>
      </c>
      <c r="O151" s="57">
        <f t="shared" si="15"/>
        <v>11</v>
      </c>
      <c r="P151" s="58">
        <f ca="1" t="shared" si="16"/>
        <v>2027</v>
      </c>
      <c r="R151" s="56">
        <f t="shared" si="17"/>
        <v>11</v>
      </c>
      <c r="S151" s="57" t="str">
        <f t="shared" si="18"/>
        <v/>
      </c>
      <c r="T151" s="58" t="str">
        <f t="shared" si="19"/>
        <v/>
      </c>
    </row>
    <row r="152" spans="2:20" s="7" customFormat="1" ht="12.75">
      <c r="B152" s="42"/>
      <c r="C152" s="89">
        <f t="shared" si="11"/>
        <v>111</v>
      </c>
      <c r="D152" s="90">
        <f ca="1" t="shared" si="10"/>
        <v>46722</v>
      </c>
      <c r="E152" s="71">
        <f t="shared" si="12"/>
        <v>76803.29999999997</v>
      </c>
      <c r="F152" s="71">
        <f>IF(E152="","",IF(Annuitätenrechner!$F$37&gt;=E152,E152+ROUND(E152*Annuitätenrechner!$E$21/Annuitätenrechner!$O$27,2),Annuitätenrechner!$F$37))</f>
        <v>583.33</v>
      </c>
      <c r="G152" s="71">
        <f>IF(E152="","",+ROUND(E152*Annuitätenrechner!$E$21/Annuitätenrechner!$O$27,2))</f>
        <v>320.01</v>
      </c>
      <c r="H152" s="71">
        <f>IF(E152="","",IF(Annuitätenrechner!$F$37-G152&lt;=E152,Annuitätenrechner!$F$37-G152,E152))</f>
        <v>263.32000000000005</v>
      </c>
      <c r="I152" s="91">
        <f t="shared" si="13"/>
        <v>76539.97999999997</v>
      </c>
      <c r="J152" s="41"/>
      <c r="N152" s="56">
        <f ca="1" t="shared" si="14"/>
        <v>1</v>
      </c>
      <c r="O152" s="57">
        <f t="shared" si="15"/>
        <v>12</v>
      </c>
      <c r="P152" s="58">
        <f ca="1" t="shared" si="16"/>
        <v>2027</v>
      </c>
      <c r="R152" s="56">
        <f t="shared" si="17"/>
        <v>12</v>
      </c>
      <c r="S152" s="57" t="str">
        <f t="shared" si="18"/>
        <v/>
      </c>
      <c r="T152" s="58" t="str">
        <f t="shared" si="19"/>
        <v/>
      </c>
    </row>
    <row r="153" spans="2:20" s="7" customFormat="1" ht="12.75">
      <c r="B153" s="42"/>
      <c r="C153" s="89">
        <f t="shared" si="11"/>
        <v>112</v>
      </c>
      <c r="D153" s="90">
        <f ca="1" t="shared" si="10"/>
        <v>46753</v>
      </c>
      <c r="E153" s="71">
        <f t="shared" si="12"/>
        <v>76539.97999999997</v>
      </c>
      <c r="F153" s="71">
        <f>IF(E153="","",IF(Annuitätenrechner!$F$37&gt;=E153,E153+ROUND(E153*Annuitätenrechner!$E$21/Annuitätenrechner!$O$27,2),Annuitätenrechner!$F$37))</f>
        <v>583.33</v>
      </c>
      <c r="G153" s="71">
        <f>IF(E153="","",+ROUND(E153*Annuitätenrechner!$E$21/Annuitätenrechner!$O$27,2))</f>
        <v>318.92</v>
      </c>
      <c r="H153" s="71">
        <f>IF(E153="","",IF(Annuitätenrechner!$F$37-G153&lt;=E153,Annuitätenrechner!$F$37-G153,E153))</f>
        <v>264.41</v>
      </c>
      <c r="I153" s="91">
        <f t="shared" si="13"/>
        <v>76275.56999999996</v>
      </c>
      <c r="J153" s="41"/>
      <c r="N153" s="56">
        <f ca="1" t="shared" si="14"/>
        <v>1</v>
      </c>
      <c r="O153" s="57">
        <f t="shared" si="15"/>
        <v>1</v>
      </c>
      <c r="P153" s="58">
        <f ca="1" t="shared" si="16"/>
        <v>2028</v>
      </c>
      <c r="R153" s="56">
        <f t="shared" si="17"/>
        <v>1</v>
      </c>
      <c r="S153" s="57" t="str">
        <f t="shared" si="18"/>
        <v/>
      </c>
      <c r="T153" s="58" t="str">
        <f t="shared" si="19"/>
        <v/>
      </c>
    </row>
    <row r="154" spans="2:20" s="7" customFormat="1" ht="12.75">
      <c r="B154" s="42"/>
      <c r="C154" s="89">
        <f t="shared" si="11"/>
        <v>113</v>
      </c>
      <c r="D154" s="90">
        <f ca="1" t="shared" si="10"/>
        <v>46784</v>
      </c>
      <c r="E154" s="71">
        <f t="shared" si="12"/>
        <v>76275.56999999996</v>
      </c>
      <c r="F154" s="71">
        <f>IF(E154="","",IF(Annuitätenrechner!$F$37&gt;=E154,E154+ROUND(E154*Annuitätenrechner!$E$21/Annuitätenrechner!$O$27,2),Annuitätenrechner!$F$37))</f>
        <v>583.33</v>
      </c>
      <c r="G154" s="71">
        <f>IF(E154="","",+ROUND(E154*Annuitätenrechner!$E$21/Annuitätenrechner!$O$27,2))</f>
        <v>317.81</v>
      </c>
      <c r="H154" s="71">
        <f>IF(E154="","",IF(Annuitätenrechner!$F$37-G154&lt;=E154,Annuitätenrechner!$F$37-G154,E154))</f>
        <v>265.52000000000004</v>
      </c>
      <c r="I154" s="91">
        <f t="shared" si="13"/>
        <v>76010.04999999996</v>
      </c>
      <c r="J154" s="41"/>
      <c r="N154" s="56">
        <f ca="1" t="shared" si="14"/>
        <v>1</v>
      </c>
      <c r="O154" s="57">
        <f t="shared" si="15"/>
        <v>2</v>
      </c>
      <c r="P154" s="58">
        <f ca="1" t="shared" si="16"/>
        <v>2028</v>
      </c>
      <c r="R154" s="56">
        <f t="shared" si="17"/>
        <v>2</v>
      </c>
      <c r="S154" s="57" t="str">
        <f t="shared" si="18"/>
        <v/>
      </c>
      <c r="T154" s="58" t="str">
        <f t="shared" si="19"/>
        <v/>
      </c>
    </row>
    <row r="155" spans="2:20" s="7" customFormat="1" ht="12.75">
      <c r="B155" s="42"/>
      <c r="C155" s="89">
        <f t="shared" si="11"/>
        <v>114</v>
      </c>
      <c r="D155" s="90">
        <f ca="1" t="shared" si="10"/>
        <v>46813</v>
      </c>
      <c r="E155" s="71">
        <f t="shared" si="12"/>
        <v>76010.04999999996</v>
      </c>
      <c r="F155" s="71">
        <f>IF(E155="","",IF(Annuitätenrechner!$F$37&gt;=E155,E155+ROUND(E155*Annuitätenrechner!$E$21/Annuitätenrechner!$O$27,2),Annuitätenrechner!$F$37))</f>
        <v>583.33</v>
      </c>
      <c r="G155" s="71">
        <f>IF(E155="","",+ROUND(E155*Annuitätenrechner!$E$21/Annuitätenrechner!$O$27,2))</f>
        <v>316.71</v>
      </c>
      <c r="H155" s="71">
        <f>IF(E155="","",IF(Annuitätenrechner!$F$37-G155&lt;=E155,Annuitätenrechner!$F$37-G155,E155))</f>
        <v>266.62000000000006</v>
      </c>
      <c r="I155" s="91">
        <f t="shared" si="13"/>
        <v>75743.42999999996</v>
      </c>
      <c r="J155" s="41"/>
      <c r="N155" s="56">
        <f ca="1" t="shared" si="14"/>
        <v>1</v>
      </c>
      <c r="O155" s="57">
        <f t="shared" si="15"/>
        <v>3</v>
      </c>
      <c r="P155" s="58">
        <f ca="1" t="shared" si="16"/>
        <v>2028</v>
      </c>
      <c r="R155" s="56">
        <f t="shared" si="17"/>
        <v>3</v>
      </c>
      <c r="S155" s="57" t="str">
        <f t="shared" si="18"/>
        <v/>
      </c>
      <c r="T155" s="58" t="str">
        <f t="shared" si="19"/>
        <v/>
      </c>
    </row>
    <row r="156" spans="2:20" s="7" customFormat="1" ht="12.75">
      <c r="B156" s="42"/>
      <c r="C156" s="89">
        <f t="shared" si="11"/>
        <v>115</v>
      </c>
      <c r="D156" s="90">
        <f ca="1" t="shared" si="10"/>
        <v>46844</v>
      </c>
      <c r="E156" s="71">
        <f t="shared" si="12"/>
        <v>75743.42999999996</v>
      </c>
      <c r="F156" s="71">
        <f>IF(E156="","",IF(Annuitätenrechner!$F$37&gt;=E156,E156+ROUND(E156*Annuitätenrechner!$E$21/Annuitätenrechner!$O$27,2),Annuitätenrechner!$F$37))</f>
        <v>583.33</v>
      </c>
      <c r="G156" s="71">
        <f>IF(E156="","",+ROUND(E156*Annuitätenrechner!$E$21/Annuitätenrechner!$O$27,2))</f>
        <v>315.6</v>
      </c>
      <c r="H156" s="71">
        <f>IF(E156="","",IF(Annuitätenrechner!$F$37-G156&lt;=E156,Annuitätenrechner!$F$37-G156,E156))</f>
        <v>267.73</v>
      </c>
      <c r="I156" s="91">
        <f t="shared" si="13"/>
        <v>75475.69999999997</v>
      </c>
      <c r="J156" s="41"/>
      <c r="N156" s="56">
        <f ca="1" t="shared" si="14"/>
        <v>1</v>
      </c>
      <c r="O156" s="57">
        <f t="shared" si="15"/>
        <v>4</v>
      </c>
      <c r="P156" s="58">
        <f ca="1" t="shared" si="16"/>
        <v>2028</v>
      </c>
      <c r="R156" s="56">
        <f t="shared" si="17"/>
        <v>4</v>
      </c>
      <c r="S156" s="57" t="str">
        <f t="shared" si="18"/>
        <v/>
      </c>
      <c r="T156" s="58" t="str">
        <f t="shared" si="19"/>
        <v/>
      </c>
    </row>
    <row r="157" spans="2:20" s="7" customFormat="1" ht="12.75">
      <c r="B157" s="42"/>
      <c r="C157" s="89">
        <f t="shared" si="11"/>
        <v>116</v>
      </c>
      <c r="D157" s="90">
        <f ca="1" t="shared" si="10"/>
        <v>46874</v>
      </c>
      <c r="E157" s="71">
        <f t="shared" si="12"/>
        <v>75475.69999999997</v>
      </c>
      <c r="F157" s="71">
        <f>IF(E157="","",IF(Annuitätenrechner!$F$37&gt;=E157,E157+ROUND(E157*Annuitätenrechner!$E$21/Annuitätenrechner!$O$27,2),Annuitätenrechner!$F$37))</f>
        <v>583.33</v>
      </c>
      <c r="G157" s="71">
        <f>IF(E157="","",+ROUND(E157*Annuitätenrechner!$E$21/Annuitätenrechner!$O$27,2))</f>
        <v>314.48</v>
      </c>
      <c r="H157" s="71">
        <f>IF(E157="","",IF(Annuitätenrechner!$F$37-G157&lt;=E157,Annuitätenrechner!$F$37-G157,E157))</f>
        <v>268.85</v>
      </c>
      <c r="I157" s="91">
        <f t="shared" si="13"/>
        <v>75206.84999999996</v>
      </c>
      <c r="J157" s="41"/>
      <c r="N157" s="56">
        <f ca="1" t="shared" si="14"/>
        <v>1</v>
      </c>
      <c r="O157" s="57">
        <f t="shared" si="15"/>
        <v>5</v>
      </c>
      <c r="P157" s="58">
        <f ca="1" t="shared" si="16"/>
        <v>2028</v>
      </c>
      <c r="R157" s="56">
        <f t="shared" si="17"/>
        <v>5</v>
      </c>
      <c r="S157" s="57" t="str">
        <f t="shared" si="18"/>
        <v/>
      </c>
      <c r="T157" s="58" t="str">
        <f t="shared" si="19"/>
        <v/>
      </c>
    </row>
    <row r="158" spans="2:20" s="7" customFormat="1" ht="12.75">
      <c r="B158" s="42"/>
      <c r="C158" s="89">
        <f t="shared" si="11"/>
        <v>117</v>
      </c>
      <c r="D158" s="90">
        <f ca="1" t="shared" si="10"/>
        <v>46905</v>
      </c>
      <c r="E158" s="71">
        <f t="shared" si="12"/>
        <v>75206.84999999996</v>
      </c>
      <c r="F158" s="71">
        <f>IF(E158="","",IF(Annuitätenrechner!$F$37&gt;=E158,E158+ROUND(E158*Annuitätenrechner!$E$21/Annuitätenrechner!$O$27,2),Annuitätenrechner!$F$37))</f>
        <v>583.33</v>
      </c>
      <c r="G158" s="71">
        <f>IF(E158="","",+ROUND(E158*Annuitätenrechner!$E$21/Annuitätenrechner!$O$27,2))</f>
        <v>313.36</v>
      </c>
      <c r="H158" s="71">
        <f>IF(E158="","",IF(Annuitätenrechner!$F$37-G158&lt;=E158,Annuitätenrechner!$F$37-G158,E158))</f>
        <v>269.97</v>
      </c>
      <c r="I158" s="91">
        <f t="shared" si="13"/>
        <v>74936.87999999996</v>
      </c>
      <c r="J158" s="41"/>
      <c r="N158" s="56">
        <f ca="1" t="shared" si="14"/>
        <v>1</v>
      </c>
      <c r="O158" s="57">
        <f t="shared" si="15"/>
        <v>6</v>
      </c>
      <c r="P158" s="58">
        <f ca="1" t="shared" si="16"/>
        <v>2028</v>
      </c>
      <c r="R158" s="56">
        <f t="shared" si="17"/>
        <v>6</v>
      </c>
      <c r="S158" s="57" t="str">
        <f t="shared" si="18"/>
        <v/>
      </c>
      <c r="T158" s="58" t="str">
        <f t="shared" si="19"/>
        <v/>
      </c>
    </row>
    <row r="159" spans="2:20" s="7" customFormat="1" ht="12.75">
      <c r="B159" s="42"/>
      <c r="C159" s="89">
        <f t="shared" si="11"/>
        <v>118</v>
      </c>
      <c r="D159" s="90">
        <f ca="1" t="shared" si="10"/>
        <v>46935</v>
      </c>
      <c r="E159" s="71">
        <f t="shared" si="12"/>
        <v>74936.87999999996</v>
      </c>
      <c r="F159" s="71">
        <f>IF(E159="","",IF(Annuitätenrechner!$F$37&gt;=E159,E159+ROUND(E159*Annuitätenrechner!$E$21/Annuitätenrechner!$O$27,2),Annuitätenrechner!$F$37))</f>
        <v>583.33</v>
      </c>
      <c r="G159" s="71">
        <f>IF(E159="","",+ROUND(E159*Annuitätenrechner!$E$21/Annuitätenrechner!$O$27,2))</f>
        <v>312.24</v>
      </c>
      <c r="H159" s="71">
        <f>IF(E159="","",IF(Annuitätenrechner!$F$37-G159&lt;=E159,Annuitätenrechner!$F$37-G159,E159))</f>
        <v>271.09000000000003</v>
      </c>
      <c r="I159" s="91">
        <f t="shared" si="13"/>
        <v>74665.78999999996</v>
      </c>
      <c r="J159" s="41"/>
      <c r="N159" s="56">
        <f ca="1" t="shared" si="14"/>
        <v>1</v>
      </c>
      <c r="O159" s="57">
        <f t="shared" si="15"/>
        <v>7</v>
      </c>
      <c r="P159" s="58">
        <f ca="1" t="shared" si="16"/>
        <v>2028</v>
      </c>
      <c r="R159" s="56">
        <f t="shared" si="17"/>
        <v>7</v>
      </c>
      <c r="S159" s="57" t="str">
        <f t="shared" si="18"/>
        <v/>
      </c>
      <c r="T159" s="58" t="str">
        <f t="shared" si="19"/>
        <v/>
      </c>
    </row>
    <row r="160" spans="2:20" s="7" customFormat="1" ht="12.75">
      <c r="B160" s="42"/>
      <c r="C160" s="89">
        <f t="shared" si="11"/>
        <v>119</v>
      </c>
      <c r="D160" s="90">
        <f ca="1" t="shared" si="10"/>
        <v>46966</v>
      </c>
      <c r="E160" s="71">
        <f t="shared" si="12"/>
        <v>74665.78999999996</v>
      </c>
      <c r="F160" s="71">
        <f>IF(E160="","",IF(Annuitätenrechner!$F$37&gt;=E160,E160+ROUND(E160*Annuitätenrechner!$E$21/Annuitätenrechner!$O$27,2),Annuitätenrechner!$F$37))</f>
        <v>583.33</v>
      </c>
      <c r="G160" s="71">
        <f>IF(E160="","",+ROUND(E160*Annuitätenrechner!$E$21/Annuitätenrechner!$O$27,2))</f>
        <v>311.11</v>
      </c>
      <c r="H160" s="71">
        <f>IF(E160="","",IF(Annuitätenrechner!$F$37-G160&lt;=E160,Annuitätenrechner!$F$37-G160,E160))</f>
        <v>272.22</v>
      </c>
      <c r="I160" s="91">
        <f t="shared" si="13"/>
        <v>74393.56999999996</v>
      </c>
      <c r="J160" s="41"/>
      <c r="N160" s="56">
        <f ca="1" t="shared" si="14"/>
        <v>1</v>
      </c>
      <c r="O160" s="57">
        <f t="shared" si="15"/>
        <v>8</v>
      </c>
      <c r="P160" s="58">
        <f ca="1" t="shared" si="16"/>
        <v>2028</v>
      </c>
      <c r="R160" s="56">
        <f t="shared" si="17"/>
        <v>8</v>
      </c>
      <c r="S160" s="57" t="str">
        <f t="shared" si="18"/>
        <v/>
      </c>
      <c r="T160" s="58" t="str">
        <f t="shared" si="19"/>
        <v/>
      </c>
    </row>
    <row r="161" spans="2:20" s="7" customFormat="1" ht="12.75">
      <c r="B161" s="42"/>
      <c r="C161" s="89">
        <f t="shared" si="11"/>
        <v>120</v>
      </c>
      <c r="D161" s="90">
        <f ca="1" t="shared" si="10"/>
        <v>46997</v>
      </c>
      <c r="E161" s="71">
        <f t="shared" si="12"/>
        <v>74393.56999999996</v>
      </c>
      <c r="F161" s="71">
        <f>IF(E161="","",IF(Annuitätenrechner!$F$37&gt;=E161,E161+ROUND(E161*Annuitätenrechner!$E$21/Annuitätenrechner!$O$27,2),Annuitätenrechner!$F$37))</f>
        <v>583.33</v>
      </c>
      <c r="G161" s="71">
        <f>IF(E161="","",+ROUND(E161*Annuitätenrechner!$E$21/Annuitätenrechner!$O$27,2))</f>
        <v>309.97</v>
      </c>
      <c r="H161" s="71">
        <f>IF(E161="","",IF(Annuitätenrechner!$F$37-G161&lt;=E161,Annuitätenrechner!$F$37-G161,E161))</f>
        <v>273.36</v>
      </c>
      <c r="I161" s="91">
        <f t="shared" si="13"/>
        <v>74120.20999999996</v>
      </c>
      <c r="J161" s="41"/>
      <c r="N161" s="56">
        <f ca="1" t="shared" si="14"/>
        <v>1</v>
      </c>
      <c r="O161" s="57">
        <f t="shared" si="15"/>
        <v>9</v>
      </c>
      <c r="P161" s="58">
        <f ca="1" t="shared" si="16"/>
        <v>2028</v>
      </c>
      <c r="R161" s="56">
        <f t="shared" si="17"/>
        <v>9</v>
      </c>
      <c r="S161" s="57" t="str">
        <f t="shared" si="18"/>
        <v/>
      </c>
      <c r="T161" s="58" t="str">
        <f t="shared" si="19"/>
        <v/>
      </c>
    </row>
    <row r="162" spans="2:20" s="7" customFormat="1" ht="12.75">
      <c r="B162" s="42"/>
      <c r="C162" s="89">
        <f t="shared" si="11"/>
        <v>121</v>
      </c>
      <c r="D162" s="90">
        <f ca="1" t="shared" si="10"/>
        <v>47027</v>
      </c>
      <c r="E162" s="71">
        <f t="shared" si="12"/>
        <v>74120.20999999996</v>
      </c>
      <c r="F162" s="71">
        <f>IF(E162="","",IF(Annuitätenrechner!$F$37&gt;=E162,E162+ROUND(E162*Annuitätenrechner!$E$21/Annuitätenrechner!$O$27,2),Annuitätenrechner!$F$37))</f>
        <v>583.33</v>
      </c>
      <c r="G162" s="71">
        <f>IF(E162="","",+ROUND(E162*Annuitätenrechner!$E$21/Annuitätenrechner!$O$27,2))</f>
        <v>308.83</v>
      </c>
      <c r="H162" s="71">
        <f>IF(E162="","",IF(Annuitätenrechner!$F$37-G162&lt;=E162,Annuitätenrechner!$F$37-G162,E162))</f>
        <v>274.50000000000006</v>
      </c>
      <c r="I162" s="91">
        <f t="shared" si="13"/>
        <v>73845.70999999996</v>
      </c>
      <c r="J162" s="41"/>
      <c r="N162" s="56">
        <f ca="1" t="shared" si="14"/>
        <v>1</v>
      </c>
      <c r="O162" s="57">
        <f t="shared" si="15"/>
        <v>10</v>
      </c>
      <c r="P162" s="58">
        <f ca="1" t="shared" si="16"/>
        <v>2028</v>
      </c>
      <c r="R162" s="56">
        <f t="shared" si="17"/>
        <v>10</v>
      </c>
      <c r="S162" s="57" t="str">
        <f t="shared" si="18"/>
        <v/>
      </c>
      <c r="T162" s="58" t="str">
        <f t="shared" si="19"/>
        <v/>
      </c>
    </row>
    <row r="163" spans="2:20" s="7" customFormat="1" ht="12.75">
      <c r="B163" s="42"/>
      <c r="C163" s="89">
        <f t="shared" si="11"/>
        <v>122</v>
      </c>
      <c r="D163" s="90">
        <f ca="1" t="shared" si="10"/>
        <v>47058</v>
      </c>
      <c r="E163" s="71">
        <f t="shared" si="12"/>
        <v>73845.70999999996</v>
      </c>
      <c r="F163" s="71">
        <f>IF(E163="","",IF(Annuitätenrechner!$F$37&gt;=E163,E163+ROUND(E163*Annuitätenrechner!$E$21/Annuitätenrechner!$O$27,2),Annuitätenrechner!$F$37))</f>
        <v>583.33</v>
      </c>
      <c r="G163" s="71">
        <f>IF(E163="","",+ROUND(E163*Annuitätenrechner!$E$21/Annuitätenrechner!$O$27,2))</f>
        <v>307.69</v>
      </c>
      <c r="H163" s="71">
        <f>IF(E163="","",IF(Annuitätenrechner!$F$37-G163&lt;=E163,Annuitätenrechner!$F$37-G163,E163))</f>
        <v>275.64000000000004</v>
      </c>
      <c r="I163" s="91">
        <f t="shared" si="13"/>
        <v>73570.06999999996</v>
      </c>
      <c r="J163" s="41"/>
      <c r="N163" s="56">
        <f ca="1" t="shared" si="14"/>
        <v>1</v>
      </c>
      <c r="O163" s="57">
        <f t="shared" si="15"/>
        <v>11</v>
      </c>
      <c r="P163" s="58">
        <f ca="1" t="shared" si="16"/>
        <v>2028</v>
      </c>
      <c r="R163" s="56">
        <f t="shared" si="17"/>
        <v>11</v>
      </c>
      <c r="S163" s="57" t="str">
        <f t="shared" si="18"/>
        <v/>
      </c>
      <c r="T163" s="58" t="str">
        <f t="shared" si="19"/>
        <v/>
      </c>
    </row>
    <row r="164" spans="2:20" s="7" customFormat="1" ht="12.75">
      <c r="B164" s="42"/>
      <c r="C164" s="89">
        <f t="shared" si="11"/>
        <v>123</v>
      </c>
      <c r="D164" s="90">
        <f ca="1" t="shared" si="10"/>
        <v>47088</v>
      </c>
      <c r="E164" s="71">
        <f t="shared" si="12"/>
        <v>73570.06999999996</v>
      </c>
      <c r="F164" s="71">
        <f>IF(E164="","",IF(Annuitätenrechner!$F$37&gt;=E164,E164+ROUND(E164*Annuitätenrechner!$E$21/Annuitätenrechner!$O$27,2),Annuitätenrechner!$F$37))</f>
        <v>583.33</v>
      </c>
      <c r="G164" s="71">
        <f>IF(E164="","",+ROUND(E164*Annuitätenrechner!$E$21/Annuitätenrechner!$O$27,2))</f>
        <v>306.54</v>
      </c>
      <c r="H164" s="71">
        <f>IF(E164="","",IF(Annuitätenrechner!$F$37-G164&lt;=E164,Annuitätenrechner!$F$37-G164,E164))</f>
        <v>276.79</v>
      </c>
      <c r="I164" s="91">
        <f t="shared" si="13"/>
        <v>73293.27999999997</v>
      </c>
      <c r="J164" s="41"/>
      <c r="N164" s="56">
        <f ca="1" t="shared" si="14"/>
        <v>1</v>
      </c>
      <c r="O164" s="57">
        <f t="shared" si="15"/>
        <v>12</v>
      </c>
      <c r="P164" s="58">
        <f ca="1" t="shared" si="16"/>
        <v>2028</v>
      </c>
      <c r="R164" s="56">
        <f t="shared" si="17"/>
        <v>12</v>
      </c>
      <c r="S164" s="57" t="str">
        <f t="shared" si="18"/>
        <v/>
      </c>
      <c r="T164" s="58" t="str">
        <f t="shared" si="19"/>
        <v/>
      </c>
    </row>
    <row r="165" spans="2:20" s="7" customFormat="1" ht="12.75">
      <c r="B165" s="42"/>
      <c r="C165" s="89">
        <f t="shared" si="11"/>
        <v>124</v>
      </c>
      <c r="D165" s="90">
        <f ca="1" t="shared" si="10"/>
        <v>47119</v>
      </c>
      <c r="E165" s="71">
        <f t="shared" si="12"/>
        <v>73293.27999999997</v>
      </c>
      <c r="F165" s="71">
        <f>IF(E165="","",IF(Annuitätenrechner!$F$37&gt;=E165,E165+ROUND(E165*Annuitätenrechner!$E$21/Annuitätenrechner!$O$27,2),Annuitätenrechner!$F$37))</f>
        <v>583.33</v>
      </c>
      <c r="G165" s="71">
        <f>IF(E165="","",+ROUND(E165*Annuitätenrechner!$E$21/Annuitätenrechner!$O$27,2))</f>
        <v>305.39</v>
      </c>
      <c r="H165" s="71">
        <f>IF(E165="","",IF(Annuitätenrechner!$F$37-G165&lt;=E165,Annuitätenrechner!$F$37-G165,E165))</f>
        <v>277.94000000000005</v>
      </c>
      <c r="I165" s="91">
        <f t="shared" si="13"/>
        <v>73015.33999999997</v>
      </c>
      <c r="J165" s="41"/>
      <c r="N165" s="56">
        <f ca="1" t="shared" si="14"/>
        <v>1</v>
      </c>
      <c r="O165" s="57">
        <f t="shared" si="15"/>
        <v>1</v>
      </c>
      <c r="P165" s="58">
        <f ca="1" t="shared" si="16"/>
        <v>2029</v>
      </c>
      <c r="R165" s="56">
        <f t="shared" si="17"/>
        <v>1</v>
      </c>
      <c r="S165" s="57" t="str">
        <f t="shared" si="18"/>
        <v/>
      </c>
      <c r="T165" s="58" t="str">
        <f t="shared" si="19"/>
        <v/>
      </c>
    </row>
    <row r="166" spans="2:20" s="7" customFormat="1" ht="12.75">
      <c r="B166" s="42"/>
      <c r="C166" s="89">
        <f t="shared" si="11"/>
        <v>125</v>
      </c>
      <c r="D166" s="90">
        <f ca="1" t="shared" si="10"/>
        <v>47150</v>
      </c>
      <c r="E166" s="71">
        <f t="shared" si="12"/>
        <v>73015.33999999997</v>
      </c>
      <c r="F166" s="71">
        <f>IF(E166="","",IF(Annuitätenrechner!$F$37&gt;=E166,E166+ROUND(E166*Annuitätenrechner!$E$21/Annuitätenrechner!$O$27,2),Annuitätenrechner!$F$37))</f>
        <v>583.33</v>
      </c>
      <c r="G166" s="71">
        <f>IF(E166="","",+ROUND(E166*Annuitätenrechner!$E$21/Annuitätenrechner!$O$27,2))</f>
        <v>304.23</v>
      </c>
      <c r="H166" s="71">
        <f>IF(E166="","",IF(Annuitätenrechner!$F$37-G166&lt;=E166,Annuitätenrechner!$F$37-G166,E166))</f>
        <v>279.1</v>
      </c>
      <c r="I166" s="91">
        <f t="shared" si="13"/>
        <v>72736.23999999996</v>
      </c>
      <c r="J166" s="41"/>
      <c r="N166" s="56">
        <f ca="1" t="shared" si="14"/>
        <v>1</v>
      </c>
      <c r="O166" s="57">
        <f t="shared" si="15"/>
        <v>2</v>
      </c>
      <c r="P166" s="58">
        <f ca="1" t="shared" si="16"/>
        <v>2029</v>
      </c>
      <c r="R166" s="56">
        <f t="shared" si="17"/>
        <v>2</v>
      </c>
      <c r="S166" s="57" t="str">
        <f t="shared" si="18"/>
        <v/>
      </c>
      <c r="T166" s="58" t="str">
        <f t="shared" si="19"/>
        <v/>
      </c>
    </row>
    <row r="167" spans="2:20" s="7" customFormat="1" ht="12.75">
      <c r="B167" s="42"/>
      <c r="C167" s="89">
        <f t="shared" si="11"/>
        <v>126</v>
      </c>
      <c r="D167" s="90">
        <f ca="1" t="shared" si="10"/>
        <v>47178</v>
      </c>
      <c r="E167" s="71">
        <f t="shared" si="12"/>
        <v>72736.23999999996</v>
      </c>
      <c r="F167" s="71">
        <f>IF(E167="","",IF(Annuitätenrechner!$F$37&gt;=E167,E167+ROUND(E167*Annuitätenrechner!$E$21/Annuitätenrechner!$O$27,2),Annuitätenrechner!$F$37))</f>
        <v>583.33</v>
      </c>
      <c r="G167" s="71">
        <f>IF(E167="","",+ROUND(E167*Annuitätenrechner!$E$21/Annuitätenrechner!$O$27,2))</f>
        <v>303.07</v>
      </c>
      <c r="H167" s="71">
        <f>IF(E167="","",IF(Annuitätenrechner!$F$37-G167&lt;=E167,Annuitätenrechner!$F$37-G167,E167))</f>
        <v>280.26000000000005</v>
      </c>
      <c r="I167" s="91">
        <f t="shared" si="13"/>
        <v>72455.97999999997</v>
      </c>
      <c r="J167" s="41"/>
      <c r="N167" s="56">
        <f ca="1" t="shared" si="14"/>
        <v>1</v>
      </c>
      <c r="O167" s="57">
        <f t="shared" si="15"/>
        <v>3</v>
      </c>
      <c r="P167" s="58">
        <f ca="1" t="shared" si="16"/>
        <v>2029</v>
      </c>
      <c r="R167" s="56">
        <f t="shared" si="17"/>
        <v>3</v>
      </c>
      <c r="S167" s="57" t="str">
        <f t="shared" si="18"/>
        <v/>
      </c>
      <c r="T167" s="58" t="str">
        <f t="shared" si="19"/>
        <v/>
      </c>
    </row>
    <row r="168" spans="2:20" s="7" customFormat="1" ht="12.75">
      <c r="B168" s="42"/>
      <c r="C168" s="89">
        <f t="shared" si="11"/>
        <v>127</v>
      </c>
      <c r="D168" s="90">
        <f ca="1" t="shared" si="10"/>
        <v>47209</v>
      </c>
      <c r="E168" s="71">
        <f t="shared" si="12"/>
        <v>72455.97999999997</v>
      </c>
      <c r="F168" s="71">
        <f>IF(E168="","",IF(Annuitätenrechner!$F$37&gt;=E168,E168+ROUND(E168*Annuitätenrechner!$E$21/Annuitätenrechner!$O$27,2),Annuitätenrechner!$F$37))</f>
        <v>583.33</v>
      </c>
      <c r="G168" s="71">
        <f>IF(E168="","",+ROUND(E168*Annuitätenrechner!$E$21/Annuitätenrechner!$O$27,2))</f>
        <v>301.9</v>
      </c>
      <c r="H168" s="71">
        <f>IF(E168="","",IF(Annuitätenrechner!$F$37-G168&lt;=E168,Annuitätenrechner!$F$37-G168,E168))</f>
        <v>281.43000000000006</v>
      </c>
      <c r="I168" s="91">
        <f t="shared" si="13"/>
        <v>72174.54999999997</v>
      </c>
      <c r="J168" s="41"/>
      <c r="N168" s="56">
        <f ca="1" t="shared" si="14"/>
        <v>1</v>
      </c>
      <c r="O168" s="57">
        <f t="shared" si="15"/>
        <v>4</v>
      </c>
      <c r="P168" s="58">
        <f ca="1" t="shared" si="16"/>
        <v>2029</v>
      </c>
      <c r="R168" s="56">
        <f t="shared" si="17"/>
        <v>4</v>
      </c>
      <c r="S168" s="57" t="str">
        <f t="shared" si="18"/>
        <v/>
      </c>
      <c r="T168" s="58" t="str">
        <f t="shared" si="19"/>
        <v/>
      </c>
    </row>
    <row r="169" spans="2:20" s="7" customFormat="1" ht="12.75">
      <c r="B169" s="42"/>
      <c r="C169" s="89">
        <f t="shared" si="11"/>
        <v>128</v>
      </c>
      <c r="D169" s="90">
        <f ca="1" t="shared" si="10"/>
        <v>47239</v>
      </c>
      <c r="E169" s="71">
        <f t="shared" si="12"/>
        <v>72174.54999999997</v>
      </c>
      <c r="F169" s="71">
        <f>IF(E169="","",IF(Annuitätenrechner!$F$37&gt;=E169,E169+ROUND(E169*Annuitätenrechner!$E$21/Annuitätenrechner!$O$27,2),Annuitätenrechner!$F$37))</f>
        <v>583.33</v>
      </c>
      <c r="G169" s="71">
        <f>IF(E169="","",+ROUND(E169*Annuitätenrechner!$E$21/Annuitätenrechner!$O$27,2))</f>
        <v>300.73</v>
      </c>
      <c r="H169" s="71">
        <f>IF(E169="","",IF(Annuitätenrechner!$F$37-G169&lt;=E169,Annuitätenrechner!$F$37-G169,E169))</f>
        <v>282.6</v>
      </c>
      <c r="I169" s="91">
        <f t="shared" si="13"/>
        <v>71891.94999999997</v>
      </c>
      <c r="J169" s="41"/>
      <c r="N169" s="56">
        <f ca="1" t="shared" si="14"/>
        <v>1</v>
      </c>
      <c r="O169" s="57">
        <f t="shared" si="15"/>
        <v>5</v>
      </c>
      <c r="P169" s="58">
        <f ca="1" t="shared" si="16"/>
        <v>2029</v>
      </c>
      <c r="R169" s="56">
        <f t="shared" si="17"/>
        <v>5</v>
      </c>
      <c r="S169" s="57" t="str">
        <f t="shared" si="18"/>
        <v/>
      </c>
      <c r="T169" s="58" t="str">
        <f t="shared" si="19"/>
        <v/>
      </c>
    </row>
    <row r="170" spans="2:20" s="7" customFormat="1" ht="12.75">
      <c r="B170" s="42"/>
      <c r="C170" s="89">
        <f t="shared" si="11"/>
        <v>129</v>
      </c>
      <c r="D170" s="90">
        <f ca="1" t="shared" si="10"/>
        <v>47270</v>
      </c>
      <c r="E170" s="71">
        <f t="shared" si="12"/>
        <v>71891.94999999997</v>
      </c>
      <c r="F170" s="71">
        <f>IF(E170="","",IF(Annuitätenrechner!$F$37&gt;=E170,E170+ROUND(E170*Annuitätenrechner!$E$21/Annuitätenrechner!$O$27,2),Annuitätenrechner!$F$37))</f>
        <v>583.33</v>
      </c>
      <c r="G170" s="71">
        <f>IF(E170="","",+ROUND(E170*Annuitätenrechner!$E$21/Annuitätenrechner!$O$27,2))</f>
        <v>299.55</v>
      </c>
      <c r="H170" s="71">
        <f>IF(E170="","",IF(Annuitätenrechner!$F$37-G170&lt;=E170,Annuitätenrechner!$F$37-G170,E170))</f>
        <v>283.78000000000003</v>
      </c>
      <c r="I170" s="91">
        <f t="shared" si="13"/>
        <v>71608.16999999997</v>
      </c>
      <c r="J170" s="41"/>
      <c r="N170" s="56">
        <f ca="1" t="shared" si="14"/>
        <v>1</v>
      </c>
      <c r="O170" s="57">
        <f t="shared" si="15"/>
        <v>6</v>
      </c>
      <c r="P170" s="58">
        <f ca="1" t="shared" si="16"/>
        <v>2029</v>
      </c>
      <c r="R170" s="56">
        <f t="shared" si="17"/>
        <v>6</v>
      </c>
      <c r="S170" s="57" t="str">
        <f t="shared" si="18"/>
        <v/>
      </c>
      <c r="T170" s="58" t="str">
        <f t="shared" si="19"/>
        <v/>
      </c>
    </row>
    <row r="171" spans="2:20" s="7" customFormat="1" ht="12.75">
      <c r="B171" s="42"/>
      <c r="C171" s="89">
        <f t="shared" si="11"/>
        <v>130</v>
      </c>
      <c r="D171" s="90">
        <f aca="true" t="shared" si="20" ref="D171:D234">IF(OR(I170="",I170=0),"",DATE(P171,O171,N171))</f>
        <v>47300</v>
      </c>
      <c r="E171" s="71">
        <f t="shared" si="12"/>
        <v>71608.16999999997</v>
      </c>
      <c r="F171" s="71">
        <f>IF(E171="","",IF(Annuitätenrechner!$F$37&gt;=E171,E171+ROUND(E171*Annuitätenrechner!$E$21/Annuitätenrechner!$O$27,2),Annuitätenrechner!$F$37))</f>
        <v>583.33</v>
      </c>
      <c r="G171" s="71">
        <f>IF(E171="","",+ROUND(E171*Annuitätenrechner!$E$21/Annuitätenrechner!$O$27,2))</f>
        <v>298.37</v>
      </c>
      <c r="H171" s="71">
        <f>IF(E171="","",IF(Annuitätenrechner!$F$37-G171&lt;=E171,Annuitätenrechner!$F$37-G171,E171))</f>
        <v>284.96000000000004</v>
      </c>
      <c r="I171" s="91">
        <f t="shared" si="13"/>
        <v>71323.20999999996</v>
      </c>
      <c r="J171" s="41"/>
      <c r="N171" s="56">
        <f ca="1" t="shared" si="14"/>
        <v>1</v>
      </c>
      <c r="O171" s="57">
        <f t="shared" si="15"/>
        <v>7</v>
      </c>
      <c r="P171" s="58">
        <f ca="1" t="shared" si="16"/>
        <v>2029</v>
      </c>
      <c r="R171" s="56">
        <f t="shared" si="17"/>
        <v>7</v>
      </c>
      <c r="S171" s="57" t="str">
        <f t="shared" si="18"/>
        <v/>
      </c>
      <c r="T171" s="58" t="str">
        <f t="shared" si="19"/>
        <v/>
      </c>
    </row>
    <row r="172" spans="2:20" s="7" customFormat="1" ht="12.75">
      <c r="B172" s="42"/>
      <c r="C172" s="89">
        <f aca="true" t="shared" si="21" ref="C172:C235">+IF(E172="","",C171+1)</f>
        <v>131</v>
      </c>
      <c r="D172" s="90">
        <f ca="1" t="shared" si="20"/>
        <v>47331</v>
      </c>
      <c r="E172" s="71">
        <f aca="true" t="shared" si="22" ref="E172:E235">IF(OR(I171=0,I171=""),"",I171)</f>
        <v>71323.20999999996</v>
      </c>
      <c r="F172" s="71">
        <f>IF(E172="","",IF(Annuitätenrechner!$F$37&gt;=E172,E172+ROUND(E172*Annuitätenrechner!$E$21/Annuitätenrechner!$O$27,2),Annuitätenrechner!$F$37))</f>
        <v>583.33</v>
      </c>
      <c r="G172" s="71">
        <f>IF(E172="","",+ROUND(E172*Annuitätenrechner!$E$21/Annuitätenrechner!$O$27,2))</f>
        <v>297.18</v>
      </c>
      <c r="H172" s="71">
        <f>IF(E172="","",IF(Annuitätenrechner!$F$37-G172&lt;=E172,Annuitätenrechner!$F$37-G172,E172))</f>
        <v>286.15000000000003</v>
      </c>
      <c r="I172" s="91">
        <f aca="true" t="shared" si="23" ref="I172:I235">IF(OR(I171="",I171=0),"",E172-H172)</f>
        <v>71037.05999999997</v>
      </c>
      <c r="J172" s="41"/>
      <c r="N172" s="56">
        <f aca="true" t="shared" si="24" ref="N172:N235">+N171</f>
        <v>1</v>
      </c>
      <c r="O172" s="57">
        <f aca="true" t="shared" si="25" ref="O172:O235">+IF(R172&lt;&gt;"",R172,IF(S172&lt;&gt;"",S172,T172))</f>
        <v>8</v>
      </c>
      <c r="P172" s="58">
        <f aca="true" t="shared" si="26" ref="P172:P235">+IF(O172&lt;O171,P171+1,P171)</f>
        <v>2029</v>
      </c>
      <c r="R172" s="56">
        <f aca="true" t="shared" si="27" ref="R172:R235">+IF(AND(R$40=12,$O$40=12),IF($O171=12,1,$O171+1),"")</f>
        <v>8</v>
      </c>
      <c r="S172" s="57" t="str">
        <f aca="true" t="shared" si="28" ref="S172:S235">+IF(AND(S$40=4,$O$40=4),IF($O171&gt;=10,O171+3-12,$O171+3),"")</f>
        <v/>
      </c>
      <c r="T172" s="58" t="str">
        <f aca="true" t="shared" si="29" ref="T172:T235">+IF(AND(T$40=1,$O$40=1),O171,"")</f>
        <v/>
      </c>
    </row>
    <row r="173" spans="2:20" s="7" customFormat="1" ht="12.75">
      <c r="B173" s="42"/>
      <c r="C173" s="89">
        <f t="shared" si="21"/>
        <v>132</v>
      </c>
      <c r="D173" s="90">
        <f ca="1" t="shared" si="20"/>
        <v>47362</v>
      </c>
      <c r="E173" s="71">
        <f t="shared" si="22"/>
        <v>71037.05999999997</v>
      </c>
      <c r="F173" s="71">
        <f>IF(E173="","",IF(Annuitätenrechner!$F$37&gt;=E173,E173+ROUND(E173*Annuitätenrechner!$E$21/Annuitätenrechner!$O$27,2),Annuitätenrechner!$F$37))</f>
        <v>583.33</v>
      </c>
      <c r="G173" s="71">
        <f>IF(E173="","",+ROUND(E173*Annuitätenrechner!$E$21/Annuitätenrechner!$O$27,2))</f>
        <v>295.99</v>
      </c>
      <c r="H173" s="71">
        <f>IF(E173="","",IF(Annuitätenrechner!$F$37-G173&lt;=E173,Annuitätenrechner!$F$37-G173,E173))</f>
        <v>287.34000000000003</v>
      </c>
      <c r="I173" s="91">
        <f t="shared" si="23"/>
        <v>70749.71999999997</v>
      </c>
      <c r="J173" s="41"/>
      <c r="N173" s="56">
        <f ca="1" t="shared" si="24"/>
        <v>1</v>
      </c>
      <c r="O173" s="57">
        <f t="shared" si="25"/>
        <v>9</v>
      </c>
      <c r="P173" s="58">
        <f ca="1" t="shared" si="26"/>
        <v>2029</v>
      </c>
      <c r="R173" s="56">
        <f t="shared" si="27"/>
        <v>9</v>
      </c>
      <c r="S173" s="57" t="str">
        <f t="shared" si="28"/>
        <v/>
      </c>
      <c r="T173" s="58" t="str">
        <f t="shared" si="29"/>
        <v/>
      </c>
    </row>
    <row r="174" spans="2:20" s="7" customFormat="1" ht="12.75">
      <c r="B174" s="42"/>
      <c r="C174" s="89">
        <f t="shared" si="21"/>
        <v>133</v>
      </c>
      <c r="D174" s="90">
        <f ca="1" t="shared" si="20"/>
        <v>47392</v>
      </c>
      <c r="E174" s="71">
        <f t="shared" si="22"/>
        <v>70749.71999999997</v>
      </c>
      <c r="F174" s="71">
        <f>IF(E174="","",IF(Annuitätenrechner!$F$37&gt;=E174,E174+ROUND(E174*Annuitätenrechner!$E$21/Annuitätenrechner!$O$27,2),Annuitätenrechner!$F$37))</f>
        <v>583.33</v>
      </c>
      <c r="G174" s="71">
        <f>IF(E174="","",+ROUND(E174*Annuitätenrechner!$E$21/Annuitätenrechner!$O$27,2))</f>
        <v>294.79</v>
      </c>
      <c r="H174" s="71">
        <f>IF(E174="","",IF(Annuitätenrechner!$F$37-G174&lt;=E174,Annuitätenrechner!$F$37-G174,E174))</f>
        <v>288.54</v>
      </c>
      <c r="I174" s="91">
        <f t="shared" si="23"/>
        <v>70461.17999999998</v>
      </c>
      <c r="J174" s="41"/>
      <c r="N174" s="56">
        <f ca="1" t="shared" si="24"/>
        <v>1</v>
      </c>
      <c r="O174" s="57">
        <f t="shared" si="25"/>
        <v>10</v>
      </c>
      <c r="P174" s="58">
        <f ca="1" t="shared" si="26"/>
        <v>2029</v>
      </c>
      <c r="R174" s="56">
        <f t="shared" si="27"/>
        <v>10</v>
      </c>
      <c r="S174" s="57" t="str">
        <f t="shared" si="28"/>
        <v/>
      </c>
      <c r="T174" s="58" t="str">
        <f t="shared" si="29"/>
        <v/>
      </c>
    </row>
    <row r="175" spans="2:20" s="7" customFormat="1" ht="12.75">
      <c r="B175" s="42"/>
      <c r="C175" s="89">
        <f t="shared" si="21"/>
        <v>134</v>
      </c>
      <c r="D175" s="90">
        <f ca="1" t="shared" si="20"/>
        <v>47423</v>
      </c>
      <c r="E175" s="71">
        <f t="shared" si="22"/>
        <v>70461.17999999998</v>
      </c>
      <c r="F175" s="71">
        <f>IF(E175="","",IF(Annuitätenrechner!$F$37&gt;=E175,E175+ROUND(E175*Annuitätenrechner!$E$21/Annuitätenrechner!$O$27,2),Annuitätenrechner!$F$37))</f>
        <v>583.33</v>
      </c>
      <c r="G175" s="71">
        <f>IF(E175="","",+ROUND(E175*Annuitätenrechner!$E$21/Annuitätenrechner!$O$27,2))</f>
        <v>293.59</v>
      </c>
      <c r="H175" s="71">
        <f>IF(E175="","",IF(Annuitätenrechner!$F$37-G175&lt;=E175,Annuitätenrechner!$F$37-G175,E175))</f>
        <v>289.74000000000007</v>
      </c>
      <c r="I175" s="91">
        <f t="shared" si="23"/>
        <v>70171.43999999997</v>
      </c>
      <c r="J175" s="41"/>
      <c r="N175" s="56">
        <f ca="1" t="shared" si="24"/>
        <v>1</v>
      </c>
      <c r="O175" s="57">
        <f t="shared" si="25"/>
        <v>11</v>
      </c>
      <c r="P175" s="58">
        <f ca="1" t="shared" si="26"/>
        <v>2029</v>
      </c>
      <c r="R175" s="56">
        <f t="shared" si="27"/>
        <v>11</v>
      </c>
      <c r="S175" s="57" t="str">
        <f t="shared" si="28"/>
        <v/>
      </c>
      <c r="T175" s="58" t="str">
        <f t="shared" si="29"/>
        <v/>
      </c>
    </row>
    <row r="176" spans="2:20" s="7" customFormat="1" ht="12.75">
      <c r="B176" s="42"/>
      <c r="C176" s="89">
        <f t="shared" si="21"/>
        <v>135</v>
      </c>
      <c r="D176" s="90">
        <f ca="1" t="shared" si="20"/>
        <v>47453</v>
      </c>
      <c r="E176" s="71">
        <f t="shared" si="22"/>
        <v>70171.43999999997</v>
      </c>
      <c r="F176" s="71">
        <f>IF(E176="","",IF(Annuitätenrechner!$F$37&gt;=E176,E176+ROUND(E176*Annuitätenrechner!$E$21/Annuitätenrechner!$O$27,2),Annuitätenrechner!$F$37))</f>
        <v>583.33</v>
      </c>
      <c r="G176" s="71">
        <f>IF(E176="","",+ROUND(E176*Annuitätenrechner!$E$21/Annuitätenrechner!$O$27,2))</f>
        <v>292.38</v>
      </c>
      <c r="H176" s="71">
        <f>IF(E176="","",IF(Annuitätenrechner!$F$37-G176&lt;=E176,Annuitätenrechner!$F$37-G176,E176))</f>
        <v>290.95000000000005</v>
      </c>
      <c r="I176" s="91">
        <f t="shared" si="23"/>
        <v>69880.48999999998</v>
      </c>
      <c r="J176" s="41"/>
      <c r="N176" s="56">
        <f ca="1" t="shared" si="24"/>
        <v>1</v>
      </c>
      <c r="O176" s="57">
        <f t="shared" si="25"/>
        <v>12</v>
      </c>
      <c r="P176" s="58">
        <f ca="1" t="shared" si="26"/>
        <v>2029</v>
      </c>
      <c r="R176" s="56">
        <f t="shared" si="27"/>
        <v>12</v>
      </c>
      <c r="S176" s="57" t="str">
        <f t="shared" si="28"/>
        <v/>
      </c>
      <c r="T176" s="58" t="str">
        <f t="shared" si="29"/>
        <v/>
      </c>
    </row>
    <row r="177" spans="2:20" s="7" customFormat="1" ht="12.75">
      <c r="B177" s="42"/>
      <c r="C177" s="89">
        <f t="shared" si="21"/>
        <v>136</v>
      </c>
      <c r="D177" s="90">
        <f ca="1" t="shared" si="20"/>
        <v>47484</v>
      </c>
      <c r="E177" s="71">
        <f t="shared" si="22"/>
        <v>69880.48999999998</v>
      </c>
      <c r="F177" s="71">
        <f>IF(E177="","",IF(Annuitätenrechner!$F$37&gt;=E177,E177+ROUND(E177*Annuitätenrechner!$E$21/Annuitätenrechner!$O$27,2),Annuitätenrechner!$F$37))</f>
        <v>583.33</v>
      </c>
      <c r="G177" s="71">
        <f>IF(E177="","",+ROUND(E177*Annuitätenrechner!$E$21/Annuitätenrechner!$O$27,2))</f>
        <v>291.17</v>
      </c>
      <c r="H177" s="71">
        <f>IF(E177="","",IF(Annuitätenrechner!$F$37-G177&lt;=E177,Annuitätenrechner!$F$37-G177,E177))</f>
        <v>292.16</v>
      </c>
      <c r="I177" s="91">
        <f t="shared" si="23"/>
        <v>69588.32999999997</v>
      </c>
      <c r="J177" s="41"/>
      <c r="N177" s="56">
        <f ca="1" t="shared" si="24"/>
        <v>1</v>
      </c>
      <c r="O177" s="57">
        <f t="shared" si="25"/>
        <v>1</v>
      </c>
      <c r="P177" s="58">
        <f ca="1" t="shared" si="26"/>
        <v>2030</v>
      </c>
      <c r="R177" s="56">
        <f t="shared" si="27"/>
        <v>1</v>
      </c>
      <c r="S177" s="57" t="str">
        <f t="shared" si="28"/>
        <v/>
      </c>
      <c r="T177" s="58" t="str">
        <f t="shared" si="29"/>
        <v/>
      </c>
    </row>
    <row r="178" spans="2:20" s="7" customFormat="1" ht="12.75">
      <c r="B178" s="42"/>
      <c r="C178" s="89">
        <f t="shared" si="21"/>
        <v>137</v>
      </c>
      <c r="D178" s="90">
        <f ca="1" t="shared" si="20"/>
        <v>47515</v>
      </c>
      <c r="E178" s="71">
        <f t="shared" si="22"/>
        <v>69588.32999999997</v>
      </c>
      <c r="F178" s="71">
        <f>IF(E178="","",IF(Annuitätenrechner!$F$37&gt;=E178,E178+ROUND(E178*Annuitätenrechner!$E$21/Annuitätenrechner!$O$27,2),Annuitätenrechner!$F$37))</f>
        <v>583.33</v>
      </c>
      <c r="G178" s="71">
        <f>IF(E178="","",+ROUND(E178*Annuitätenrechner!$E$21/Annuitätenrechner!$O$27,2))</f>
        <v>289.95</v>
      </c>
      <c r="H178" s="71">
        <f>IF(E178="","",IF(Annuitätenrechner!$F$37-G178&lt;=E178,Annuitätenrechner!$F$37-G178,E178))</f>
        <v>293.38000000000005</v>
      </c>
      <c r="I178" s="91">
        <f t="shared" si="23"/>
        <v>69294.94999999997</v>
      </c>
      <c r="J178" s="41"/>
      <c r="N178" s="56">
        <f ca="1" t="shared" si="24"/>
        <v>1</v>
      </c>
      <c r="O178" s="57">
        <f t="shared" si="25"/>
        <v>2</v>
      </c>
      <c r="P178" s="58">
        <f ca="1" t="shared" si="26"/>
        <v>2030</v>
      </c>
      <c r="R178" s="56">
        <f t="shared" si="27"/>
        <v>2</v>
      </c>
      <c r="S178" s="57" t="str">
        <f t="shared" si="28"/>
        <v/>
      </c>
      <c r="T178" s="58" t="str">
        <f t="shared" si="29"/>
        <v/>
      </c>
    </row>
    <row r="179" spans="2:20" s="7" customFormat="1" ht="12.75">
      <c r="B179" s="42"/>
      <c r="C179" s="89">
        <f t="shared" si="21"/>
        <v>138</v>
      </c>
      <c r="D179" s="90">
        <f ca="1" t="shared" si="20"/>
        <v>47543</v>
      </c>
      <c r="E179" s="71">
        <f t="shared" si="22"/>
        <v>69294.94999999997</v>
      </c>
      <c r="F179" s="71">
        <f>IF(E179="","",IF(Annuitätenrechner!$F$37&gt;=E179,E179+ROUND(E179*Annuitätenrechner!$E$21/Annuitätenrechner!$O$27,2),Annuitätenrechner!$F$37))</f>
        <v>583.33</v>
      </c>
      <c r="G179" s="71">
        <f>IF(E179="","",+ROUND(E179*Annuitätenrechner!$E$21/Annuitätenrechner!$O$27,2))</f>
        <v>288.73</v>
      </c>
      <c r="H179" s="71">
        <f>IF(E179="","",IF(Annuitätenrechner!$F$37-G179&lt;=E179,Annuitätenrechner!$F$37-G179,E179))</f>
        <v>294.6</v>
      </c>
      <c r="I179" s="91">
        <f t="shared" si="23"/>
        <v>69000.34999999996</v>
      </c>
      <c r="J179" s="41"/>
      <c r="N179" s="56">
        <f ca="1" t="shared" si="24"/>
        <v>1</v>
      </c>
      <c r="O179" s="57">
        <f t="shared" si="25"/>
        <v>3</v>
      </c>
      <c r="P179" s="58">
        <f ca="1" t="shared" si="26"/>
        <v>2030</v>
      </c>
      <c r="R179" s="56">
        <f t="shared" si="27"/>
        <v>3</v>
      </c>
      <c r="S179" s="57" t="str">
        <f t="shared" si="28"/>
        <v/>
      </c>
      <c r="T179" s="58" t="str">
        <f t="shared" si="29"/>
        <v/>
      </c>
    </row>
    <row r="180" spans="2:20" s="7" customFormat="1" ht="12.75">
      <c r="B180" s="42"/>
      <c r="C180" s="89">
        <f t="shared" si="21"/>
        <v>139</v>
      </c>
      <c r="D180" s="90">
        <f ca="1" t="shared" si="20"/>
        <v>47574</v>
      </c>
      <c r="E180" s="71">
        <f t="shared" si="22"/>
        <v>69000.34999999996</v>
      </c>
      <c r="F180" s="71">
        <f>IF(E180="","",IF(Annuitätenrechner!$F$37&gt;=E180,E180+ROUND(E180*Annuitätenrechner!$E$21/Annuitätenrechner!$O$27,2),Annuitätenrechner!$F$37))</f>
        <v>583.33</v>
      </c>
      <c r="G180" s="71">
        <f>IF(E180="","",+ROUND(E180*Annuitätenrechner!$E$21/Annuitätenrechner!$O$27,2))</f>
        <v>287.5</v>
      </c>
      <c r="H180" s="71">
        <f>IF(E180="","",IF(Annuitätenrechner!$F$37-G180&lt;=E180,Annuitätenrechner!$F$37-G180,E180))</f>
        <v>295.83000000000004</v>
      </c>
      <c r="I180" s="91">
        <f t="shared" si="23"/>
        <v>68704.51999999996</v>
      </c>
      <c r="J180" s="41"/>
      <c r="N180" s="56">
        <f ca="1" t="shared" si="24"/>
        <v>1</v>
      </c>
      <c r="O180" s="57">
        <f t="shared" si="25"/>
        <v>4</v>
      </c>
      <c r="P180" s="58">
        <f ca="1" t="shared" si="26"/>
        <v>2030</v>
      </c>
      <c r="R180" s="56">
        <f t="shared" si="27"/>
        <v>4</v>
      </c>
      <c r="S180" s="57" t="str">
        <f t="shared" si="28"/>
        <v/>
      </c>
      <c r="T180" s="58" t="str">
        <f t="shared" si="29"/>
        <v/>
      </c>
    </row>
    <row r="181" spans="2:20" s="7" customFormat="1" ht="12.75">
      <c r="B181" s="42"/>
      <c r="C181" s="89">
        <f t="shared" si="21"/>
        <v>140</v>
      </c>
      <c r="D181" s="90">
        <f ca="1" t="shared" si="20"/>
        <v>47604</v>
      </c>
      <c r="E181" s="71">
        <f t="shared" si="22"/>
        <v>68704.51999999996</v>
      </c>
      <c r="F181" s="71">
        <f>IF(E181="","",IF(Annuitätenrechner!$F$37&gt;=E181,E181+ROUND(E181*Annuitätenrechner!$E$21/Annuitätenrechner!$O$27,2),Annuitätenrechner!$F$37))</f>
        <v>583.33</v>
      </c>
      <c r="G181" s="71">
        <f>IF(E181="","",+ROUND(E181*Annuitätenrechner!$E$21/Annuitätenrechner!$O$27,2))</f>
        <v>286.27</v>
      </c>
      <c r="H181" s="71">
        <f>IF(E181="","",IF(Annuitätenrechner!$F$37-G181&lt;=E181,Annuitätenrechner!$F$37-G181,E181))</f>
        <v>297.06000000000006</v>
      </c>
      <c r="I181" s="91">
        <f t="shared" si="23"/>
        <v>68407.45999999996</v>
      </c>
      <c r="J181" s="41"/>
      <c r="N181" s="56">
        <f ca="1" t="shared" si="24"/>
        <v>1</v>
      </c>
      <c r="O181" s="57">
        <f t="shared" si="25"/>
        <v>5</v>
      </c>
      <c r="P181" s="58">
        <f ca="1" t="shared" si="26"/>
        <v>2030</v>
      </c>
      <c r="R181" s="56">
        <f t="shared" si="27"/>
        <v>5</v>
      </c>
      <c r="S181" s="57" t="str">
        <f t="shared" si="28"/>
        <v/>
      </c>
      <c r="T181" s="58" t="str">
        <f t="shared" si="29"/>
        <v/>
      </c>
    </row>
    <row r="182" spans="2:20" s="7" customFormat="1" ht="12.75">
      <c r="B182" s="42"/>
      <c r="C182" s="89">
        <f t="shared" si="21"/>
        <v>141</v>
      </c>
      <c r="D182" s="90">
        <f ca="1" t="shared" si="20"/>
        <v>47635</v>
      </c>
      <c r="E182" s="71">
        <f t="shared" si="22"/>
        <v>68407.45999999996</v>
      </c>
      <c r="F182" s="71">
        <f>IF(E182="","",IF(Annuitätenrechner!$F$37&gt;=E182,E182+ROUND(E182*Annuitätenrechner!$E$21/Annuitätenrechner!$O$27,2),Annuitätenrechner!$F$37))</f>
        <v>583.33</v>
      </c>
      <c r="G182" s="71">
        <f>IF(E182="","",+ROUND(E182*Annuitätenrechner!$E$21/Annuitätenrechner!$O$27,2))</f>
        <v>285.03</v>
      </c>
      <c r="H182" s="71">
        <f>IF(E182="","",IF(Annuitätenrechner!$F$37-G182&lt;=E182,Annuitätenrechner!$F$37-G182,E182))</f>
        <v>298.30000000000007</v>
      </c>
      <c r="I182" s="91">
        <f t="shared" si="23"/>
        <v>68109.15999999996</v>
      </c>
      <c r="J182" s="41"/>
      <c r="N182" s="56">
        <f ca="1" t="shared" si="24"/>
        <v>1</v>
      </c>
      <c r="O182" s="57">
        <f t="shared" si="25"/>
        <v>6</v>
      </c>
      <c r="P182" s="58">
        <f ca="1" t="shared" si="26"/>
        <v>2030</v>
      </c>
      <c r="R182" s="56">
        <f t="shared" si="27"/>
        <v>6</v>
      </c>
      <c r="S182" s="57" t="str">
        <f t="shared" si="28"/>
        <v/>
      </c>
      <c r="T182" s="58" t="str">
        <f t="shared" si="29"/>
        <v/>
      </c>
    </row>
    <row r="183" spans="2:20" s="7" customFormat="1" ht="12.75">
      <c r="B183" s="42"/>
      <c r="C183" s="89">
        <f t="shared" si="21"/>
        <v>142</v>
      </c>
      <c r="D183" s="90">
        <f ca="1" t="shared" si="20"/>
        <v>47665</v>
      </c>
      <c r="E183" s="71">
        <f t="shared" si="22"/>
        <v>68109.15999999996</v>
      </c>
      <c r="F183" s="71">
        <f>IF(E183="","",IF(Annuitätenrechner!$F$37&gt;=E183,E183+ROUND(E183*Annuitätenrechner!$E$21/Annuitätenrechner!$O$27,2),Annuitätenrechner!$F$37))</f>
        <v>583.33</v>
      </c>
      <c r="G183" s="71">
        <f>IF(E183="","",+ROUND(E183*Annuitätenrechner!$E$21/Annuitätenrechner!$O$27,2))</f>
        <v>283.79</v>
      </c>
      <c r="H183" s="71">
        <f>IF(E183="","",IF(Annuitätenrechner!$F$37-G183&lt;=E183,Annuitätenrechner!$F$37-G183,E183))</f>
        <v>299.54</v>
      </c>
      <c r="I183" s="91">
        <f t="shared" si="23"/>
        <v>67809.61999999997</v>
      </c>
      <c r="J183" s="41"/>
      <c r="N183" s="56">
        <f ca="1" t="shared" si="24"/>
        <v>1</v>
      </c>
      <c r="O183" s="57">
        <f t="shared" si="25"/>
        <v>7</v>
      </c>
      <c r="P183" s="58">
        <f ca="1" t="shared" si="26"/>
        <v>2030</v>
      </c>
      <c r="R183" s="56">
        <f t="shared" si="27"/>
        <v>7</v>
      </c>
      <c r="S183" s="57" t="str">
        <f t="shared" si="28"/>
        <v/>
      </c>
      <c r="T183" s="58" t="str">
        <f t="shared" si="29"/>
        <v/>
      </c>
    </row>
    <row r="184" spans="2:20" s="7" customFormat="1" ht="12.75">
      <c r="B184" s="42"/>
      <c r="C184" s="89">
        <f t="shared" si="21"/>
        <v>143</v>
      </c>
      <c r="D184" s="90">
        <f ca="1" t="shared" si="20"/>
        <v>47696</v>
      </c>
      <c r="E184" s="71">
        <f t="shared" si="22"/>
        <v>67809.61999999997</v>
      </c>
      <c r="F184" s="71">
        <f>IF(E184="","",IF(Annuitätenrechner!$F$37&gt;=E184,E184+ROUND(E184*Annuitätenrechner!$E$21/Annuitätenrechner!$O$27,2),Annuitätenrechner!$F$37))</f>
        <v>583.33</v>
      </c>
      <c r="G184" s="71">
        <f>IF(E184="","",+ROUND(E184*Annuitätenrechner!$E$21/Annuitätenrechner!$O$27,2))</f>
        <v>282.54</v>
      </c>
      <c r="H184" s="71">
        <f>IF(E184="","",IF(Annuitätenrechner!$F$37-G184&lt;=E184,Annuitätenrechner!$F$37-G184,E184))</f>
        <v>300.79</v>
      </c>
      <c r="I184" s="91">
        <f t="shared" si="23"/>
        <v>67508.82999999997</v>
      </c>
      <c r="J184" s="41"/>
      <c r="N184" s="56">
        <f ca="1" t="shared" si="24"/>
        <v>1</v>
      </c>
      <c r="O184" s="57">
        <f t="shared" si="25"/>
        <v>8</v>
      </c>
      <c r="P184" s="58">
        <f ca="1" t="shared" si="26"/>
        <v>2030</v>
      </c>
      <c r="R184" s="56">
        <f t="shared" si="27"/>
        <v>8</v>
      </c>
      <c r="S184" s="57" t="str">
        <f t="shared" si="28"/>
        <v/>
      </c>
      <c r="T184" s="58" t="str">
        <f t="shared" si="29"/>
        <v/>
      </c>
    </row>
    <row r="185" spans="2:20" s="7" customFormat="1" ht="12.75">
      <c r="B185" s="42"/>
      <c r="C185" s="89">
        <f t="shared" si="21"/>
        <v>144</v>
      </c>
      <c r="D185" s="90">
        <f ca="1" t="shared" si="20"/>
        <v>47727</v>
      </c>
      <c r="E185" s="71">
        <f t="shared" si="22"/>
        <v>67508.82999999997</v>
      </c>
      <c r="F185" s="71">
        <f>IF(E185="","",IF(Annuitätenrechner!$F$37&gt;=E185,E185+ROUND(E185*Annuitätenrechner!$E$21/Annuitätenrechner!$O$27,2),Annuitätenrechner!$F$37))</f>
        <v>583.33</v>
      </c>
      <c r="G185" s="71">
        <f>IF(E185="","",+ROUND(E185*Annuitätenrechner!$E$21/Annuitätenrechner!$O$27,2))</f>
        <v>281.29</v>
      </c>
      <c r="H185" s="71">
        <f>IF(E185="","",IF(Annuitätenrechner!$F$37-G185&lt;=E185,Annuitätenrechner!$F$37-G185,E185))</f>
        <v>302.04</v>
      </c>
      <c r="I185" s="91">
        <f t="shared" si="23"/>
        <v>67206.78999999998</v>
      </c>
      <c r="J185" s="41"/>
      <c r="N185" s="56">
        <f ca="1" t="shared" si="24"/>
        <v>1</v>
      </c>
      <c r="O185" s="57">
        <f t="shared" si="25"/>
        <v>9</v>
      </c>
      <c r="P185" s="58">
        <f ca="1" t="shared" si="26"/>
        <v>2030</v>
      </c>
      <c r="R185" s="56">
        <f t="shared" si="27"/>
        <v>9</v>
      </c>
      <c r="S185" s="57" t="str">
        <f t="shared" si="28"/>
        <v/>
      </c>
      <c r="T185" s="58" t="str">
        <f t="shared" si="29"/>
        <v/>
      </c>
    </row>
    <row r="186" spans="2:20" s="7" customFormat="1" ht="12.75">
      <c r="B186" s="42"/>
      <c r="C186" s="89">
        <f t="shared" si="21"/>
        <v>145</v>
      </c>
      <c r="D186" s="90">
        <f ca="1" t="shared" si="20"/>
        <v>47757</v>
      </c>
      <c r="E186" s="71">
        <f t="shared" si="22"/>
        <v>67206.78999999998</v>
      </c>
      <c r="F186" s="71">
        <f>IF(E186="","",IF(Annuitätenrechner!$F$37&gt;=E186,E186+ROUND(E186*Annuitätenrechner!$E$21/Annuitätenrechner!$O$27,2),Annuitätenrechner!$F$37))</f>
        <v>583.33</v>
      </c>
      <c r="G186" s="71">
        <f>IF(E186="","",+ROUND(E186*Annuitätenrechner!$E$21/Annuitätenrechner!$O$27,2))</f>
        <v>280.03</v>
      </c>
      <c r="H186" s="71">
        <f>IF(E186="","",IF(Annuitätenrechner!$F$37-G186&lt;=E186,Annuitätenrechner!$F$37-G186,E186))</f>
        <v>303.30000000000007</v>
      </c>
      <c r="I186" s="91">
        <f t="shared" si="23"/>
        <v>66903.48999999998</v>
      </c>
      <c r="J186" s="41"/>
      <c r="N186" s="56">
        <f ca="1" t="shared" si="24"/>
        <v>1</v>
      </c>
      <c r="O186" s="57">
        <f t="shared" si="25"/>
        <v>10</v>
      </c>
      <c r="P186" s="58">
        <f ca="1" t="shared" si="26"/>
        <v>2030</v>
      </c>
      <c r="R186" s="56">
        <f t="shared" si="27"/>
        <v>10</v>
      </c>
      <c r="S186" s="57" t="str">
        <f t="shared" si="28"/>
        <v/>
      </c>
      <c r="T186" s="58" t="str">
        <f t="shared" si="29"/>
        <v/>
      </c>
    </row>
    <row r="187" spans="2:20" s="7" customFormat="1" ht="12.75">
      <c r="B187" s="42"/>
      <c r="C187" s="89">
        <f t="shared" si="21"/>
        <v>146</v>
      </c>
      <c r="D187" s="90">
        <f ca="1" t="shared" si="20"/>
        <v>47788</v>
      </c>
      <c r="E187" s="71">
        <f t="shared" si="22"/>
        <v>66903.48999999998</v>
      </c>
      <c r="F187" s="71">
        <f>IF(E187="","",IF(Annuitätenrechner!$F$37&gt;=E187,E187+ROUND(E187*Annuitätenrechner!$E$21/Annuitätenrechner!$O$27,2),Annuitätenrechner!$F$37))</f>
        <v>583.33</v>
      </c>
      <c r="G187" s="71">
        <f>IF(E187="","",+ROUND(E187*Annuitätenrechner!$E$21/Annuitätenrechner!$O$27,2))</f>
        <v>278.76</v>
      </c>
      <c r="H187" s="71">
        <f>IF(E187="","",IF(Annuitätenrechner!$F$37-G187&lt;=E187,Annuitätenrechner!$F$37-G187,E187))</f>
        <v>304.57000000000005</v>
      </c>
      <c r="I187" s="91">
        <f t="shared" si="23"/>
        <v>66598.91999999997</v>
      </c>
      <c r="J187" s="41"/>
      <c r="N187" s="56">
        <f ca="1" t="shared" si="24"/>
        <v>1</v>
      </c>
      <c r="O187" s="57">
        <f t="shared" si="25"/>
        <v>11</v>
      </c>
      <c r="P187" s="58">
        <f ca="1" t="shared" si="26"/>
        <v>2030</v>
      </c>
      <c r="R187" s="56">
        <f t="shared" si="27"/>
        <v>11</v>
      </c>
      <c r="S187" s="57" t="str">
        <f t="shared" si="28"/>
        <v/>
      </c>
      <c r="T187" s="58" t="str">
        <f t="shared" si="29"/>
        <v/>
      </c>
    </row>
    <row r="188" spans="2:20" s="7" customFormat="1" ht="12.75">
      <c r="B188" s="42"/>
      <c r="C188" s="89">
        <f t="shared" si="21"/>
        <v>147</v>
      </c>
      <c r="D188" s="90">
        <f ca="1" t="shared" si="20"/>
        <v>47818</v>
      </c>
      <c r="E188" s="71">
        <f t="shared" si="22"/>
        <v>66598.91999999997</v>
      </c>
      <c r="F188" s="71">
        <f>IF(E188="","",IF(Annuitätenrechner!$F$37&gt;=E188,E188+ROUND(E188*Annuitätenrechner!$E$21/Annuitätenrechner!$O$27,2),Annuitätenrechner!$F$37))</f>
        <v>583.33</v>
      </c>
      <c r="G188" s="71">
        <f>IF(E188="","",+ROUND(E188*Annuitätenrechner!$E$21/Annuitätenrechner!$O$27,2))</f>
        <v>277.5</v>
      </c>
      <c r="H188" s="71">
        <f>IF(E188="","",IF(Annuitätenrechner!$F$37-G188&lt;=E188,Annuitätenrechner!$F$37-G188,E188))</f>
        <v>305.83000000000004</v>
      </c>
      <c r="I188" s="91">
        <f t="shared" si="23"/>
        <v>66293.08999999997</v>
      </c>
      <c r="J188" s="41"/>
      <c r="N188" s="56">
        <f ca="1" t="shared" si="24"/>
        <v>1</v>
      </c>
      <c r="O188" s="57">
        <f t="shared" si="25"/>
        <v>12</v>
      </c>
      <c r="P188" s="58">
        <f ca="1" t="shared" si="26"/>
        <v>2030</v>
      </c>
      <c r="R188" s="56">
        <f t="shared" si="27"/>
        <v>12</v>
      </c>
      <c r="S188" s="57" t="str">
        <f t="shared" si="28"/>
        <v/>
      </c>
      <c r="T188" s="58" t="str">
        <f t="shared" si="29"/>
        <v/>
      </c>
    </row>
    <row r="189" spans="2:20" s="7" customFormat="1" ht="12.75">
      <c r="B189" s="42"/>
      <c r="C189" s="89">
        <f t="shared" si="21"/>
        <v>148</v>
      </c>
      <c r="D189" s="90">
        <f ca="1" t="shared" si="20"/>
        <v>47849</v>
      </c>
      <c r="E189" s="71">
        <f t="shared" si="22"/>
        <v>66293.08999999997</v>
      </c>
      <c r="F189" s="71">
        <f>IF(E189="","",IF(Annuitätenrechner!$F$37&gt;=E189,E189+ROUND(E189*Annuitätenrechner!$E$21/Annuitätenrechner!$O$27,2),Annuitätenrechner!$F$37))</f>
        <v>583.33</v>
      </c>
      <c r="G189" s="71">
        <f>IF(E189="","",+ROUND(E189*Annuitätenrechner!$E$21/Annuitätenrechner!$O$27,2))</f>
        <v>276.22</v>
      </c>
      <c r="H189" s="71">
        <f>IF(E189="","",IF(Annuitätenrechner!$F$37-G189&lt;=E189,Annuitätenrechner!$F$37-G189,E189))</f>
        <v>307.11</v>
      </c>
      <c r="I189" s="91">
        <f t="shared" si="23"/>
        <v>65985.97999999997</v>
      </c>
      <c r="J189" s="41"/>
      <c r="N189" s="56">
        <f ca="1" t="shared" si="24"/>
        <v>1</v>
      </c>
      <c r="O189" s="57">
        <f t="shared" si="25"/>
        <v>1</v>
      </c>
      <c r="P189" s="58">
        <f ca="1" t="shared" si="26"/>
        <v>2031</v>
      </c>
      <c r="R189" s="56">
        <f t="shared" si="27"/>
        <v>1</v>
      </c>
      <c r="S189" s="57" t="str">
        <f t="shared" si="28"/>
        <v/>
      </c>
      <c r="T189" s="58" t="str">
        <f t="shared" si="29"/>
        <v/>
      </c>
    </row>
    <row r="190" spans="2:20" s="7" customFormat="1" ht="12.75">
      <c r="B190" s="42"/>
      <c r="C190" s="89">
        <f t="shared" si="21"/>
        <v>149</v>
      </c>
      <c r="D190" s="90">
        <f ca="1" t="shared" si="20"/>
        <v>47880</v>
      </c>
      <c r="E190" s="71">
        <f t="shared" si="22"/>
        <v>65985.97999999997</v>
      </c>
      <c r="F190" s="71">
        <f>IF(E190="","",IF(Annuitätenrechner!$F$37&gt;=E190,E190+ROUND(E190*Annuitätenrechner!$E$21/Annuitätenrechner!$O$27,2),Annuitätenrechner!$F$37))</f>
        <v>583.33</v>
      </c>
      <c r="G190" s="71">
        <f>IF(E190="","",+ROUND(E190*Annuitätenrechner!$E$21/Annuitätenrechner!$O$27,2))</f>
        <v>274.94</v>
      </c>
      <c r="H190" s="71">
        <f>IF(E190="","",IF(Annuitätenrechner!$F$37-G190&lt;=E190,Annuitätenrechner!$F$37-G190,E190))</f>
        <v>308.39000000000004</v>
      </c>
      <c r="I190" s="91">
        <f t="shared" si="23"/>
        <v>65677.58999999997</v>
      </c>
      <c r="J190" s="41"/>
      <c r="N190" s="56">
        <f ca="1" t="shared" si="24"/>
        <v>1</v>
      </c>
      <c r="O190" s="57">
        <f t="shared" si="25"/>
        <v>2</v>
      </c>
      <c r="P190" s="58">
        <f ca="1" t="shared" si="26"/>
        <v>2031</v>
      </c>
      <c r="R190" s="56">
        <f t="shared" si="27"/>
        <v>2</v>
      </c>
      <c r="S190" s="57" t="str">
        <f t="shared" si="28"/>
        <v/>
      </c>
      <c r="T190" s="58" t="str">
        <f t="shared" si="29"/>
        <v/>
      </c>
    </row>
    <row r="191" spans="2:20" s="7" customFormat="1" ht="12.75">
      <c r="B191" s="42"/>
      <c r="C191" s="89">
        <f t="shared" si="21"/>
        <v>150</v>
      </c>
      <c r="D191" s="90">
        <f ca="1" t="shared" si="20"/>
        <v>47908</v>
      </c>
      <c r="E191" s="71">
        <f t="shared" si="22"/>
        <v>65677.58999999997</v>
      </c>
      <c r="F191" s="71">
        <f>IF(E191="","",IF(Annuitätenrechner!$F$37&gt;=E191,E191+ROUND(E191*Annuitätenrechner!$E$21/Annuitätenrechner!$O$27,2),Annuitätenrechner!$F$37))</f>
        <v>583.33</v>
      </c>
      <c r="G191" s="71">
        <f>IF(E191="","",+ROUND(E191*Annuitätenrechner!$E$21/Annuitätenrechner!$O$27,2))</f>
        <v>273.66</v>
      </c>
      <c r="H191" s="71">
        <f>IF(E191="","",IF(Annuitätenrechner!$F$37-G191&lt;=E191,Annuitätenrechner!$F$37-G191,E191))</f>
        <v>309.67</v>
      </c>
      <c r="I191" s="91">
        <f t="shared" si="23"/>
        <v>65367.91999999997</v>
      </c>
      <c r="J191" s="41"/>
      <c r="N191" s="56">
        <f ca="1" t="shared" si="24"/>
        <v>1</v>
      </c>
      <c r="O191" s="57">
        <f t="shared" si="25"/>
        <v>3</v>
      </c>
      <c r="P191" s="58">
        <f ca="1" t="shared" si="26"/>
        <v>2031</v>
      </c>
      <c r="R191" s="56">
        <f t="shared" si="27"/>
        <v>3</v>
      </c>
      <c r="S191" s="57" t="str">
        <f t="shared" si="28"/>
        <v/>
      </c>
      <c r="T191" s="58" t="str">
        <f t="shared" si="29"/>
        <v/>
      </c>
    </row>
    <row r="192" spans="2:20" s="7" customFormat="1" ht="12.75">
      <c r="B192" s="42"/>
      <c r="C192" s="89">
        <f t="shared" si="21"/>
        <v>151</v>
      </c>
      <c r="D192" s="90">
        <f ca="1" t="shared" si="20"/>
        <v>47939</v>
      </c>
      <c r="E192" s="71">
        <f t="shared" si="22"/>
        <v>65367.91999999997</v>
      </c>
      <c r="F192" s="71">
        <f>IF(E192="","",IF(Annuitätenrechner!$F$37&gt;=E192,E192+ROUND(E192*Annuitätenrechner!$E$21/Annuitätenrechner!$O$27,2),Annuitätenrechner!$F$37))</f>
        <v>583.33</v>
      </c>
      <c r="G192" s="71">
        <f>IF(E192="","",+ROUND(E192*Annuitätenrechner!$E$21/Annuitätenrechner!$O$27,2))</f>
        <v>272.37</v>
      </c>
      <c r="H192" s="71">
        <f>IF(E192="","",IF(Annuitätenrechner!$F$37-G192&lt;=E192,Annuitätenrechner!$F$37-G192,E192))</f>
        <v>310.96000000000004</v>
      </c>
      <c r="I192" s="91">
        <f t="shared" si="23"/>
        <v>65056.95999999997</v>
      </c>
      <c r="J192" s="41"/>
      <c r="N192" s="56">
        <f ca="1" t="shared" si="24"/>
        <v>1</v>
      </c>
      <c r="O192" s="57">
        <f t="shared" si="25"/>
        <v>4</v>
      </c>
      <c r="P192" s="58">
        <f ca="1" t="shared" si="26"/>
        <v>2031</v>
      </c>
      <c r="R192" s="56">
        <f t="shared" si="27"/>
        <v>4</v>
      </c>
      <c r="S192" s="57" t="str">
        <f t="shared" si="28"/>
        <v/>
      </c>
      <c r="T192" s="58" t="str">
        <f t="shared" si="29"/>
        <v/>
      </c>
    </row>
    <row r="193" spans="2:20" s="7" customFormat="1" ht="12.75">
      <c r="B193" s="42"/>
      <c r="C193" s="89">
        <f t="shared" si="21"/>
        <v>152</v>
      </c>
      <c r="D193" s="90">
        <f ca="1" t="shared" si="20"/>
        <v>47969</v>
      </c>
      <c r="E193" s="71">
        <f t="shared" si="22"/>
        <v>65056.95999999997</v>
      </c>
      <c r="F193" s="71">
        <f>IF(E193="","",IF(Annuitätenrechner!$F$37&gt;=E193,E193+ROUND(E193*Annuitätenrechner!$E$21/Annuitätenrechner!$O$27,2),Annuitätenrechner!$F$37))</f>
        <v>583.33</v>
      </c>
      <c r="G193" s="71">
        <f>IF(E193="","",+ROUND(E193*Annuitätenrechner!$E$21/Annuitätenrechner!$O$27,2))</f>
        <v>271.07</v>
      </c>
      <c r="H193" s="71">
        <f>IF(E193="","",IF(Annuitätenrechner!$F$37-G193&lt;=E193,Annuitätenrechner!$F$37-G193,E193))</f>
        <v>312.26000000000005</v>
      </c>
      <c r="I193" s="91">
        <f t="shared" si="23"/>
        <v>64744.69999999997</v>
      </c>
      <c r="J193" s="41"/>
      <c r="N193" s="56">
        <f ca="1" t="shared" si="24"/>
        <v>1</v>
      </c>
      <c r="O193" s="57">
        <f t="shared" si="25"/>
        <v>5</v>
      </c>
      <c r="P193" s="58">
        <f ca="1" t="shared" si="26"/>
        <v>2031</v>
      </c>
      <c r="R193" s="56">
        <f t="shared" si="27"/>
        <v>5</v>
      </c>
      <c r="S193" s="57" t="str">
        <f t="shared" si="28"/>
        <v/>
      </c>
      <c r="T193" s="58" t="str">
        <f t="shared" si="29"/>
        <v/>
      </c>
    </row>
    <row r="194" spans="2:20" s="7" customFormat="1" ht="12.75">
      <c r="B194" s="42"/>
      <c r="C194" s="89">
        <f t="shared" si="21"/>
        <v>153</v>
      </c>
      <c r="D194" s="90">
        <f ca="1" t="shared" si="20"/>
        <v>48000</v>
      </c>
      <c r="E194" s="71">
        <f t="shared" si="22"/>
        <v>64744.69999999997</v>
      </c>
      <c r="F194" s="71">
        <f>IF(E194="","",IF(Annuitätenrechner!$F$37&gt;=E194,E194+ROUND(E194*Annuitätenrechner!$E$21/Annuitätenrechner!$O$27,2),Annuitätenrechner!$F$37))</f>
        <v>583.33</v>
      </c>
      <c r="G194" s="71">
        <f>IF(E194="","",+ROUND(E194*Annuitätenrechner!$E$21/Annuitätenrechner!$O$27,2))</f>
        <v>269.77</v>
      </c>
      <c r="H194" s="71">
        <f>IF(E194="","",IF(Annuitätenrechner!$F$37-G194&lt;=E194,Annuitätenrechner!$F$37-G194,E194))</f>
        <v>313.56000000000006</v>
      </c>
      <c r="I194" s="91">
        <f t="shared" si="23"/>
        <v>64431.13999999997</v>
      </c>
      <c r="J194" s="41"/>
      <c r="N194" s="56">
        <f ca="1" t="shared" si="24"/>
        <v>1</v>
      </c>
      <c r="O194" s="57">
        <f t="shared" si="25"/>
        <v>6</v>
      </c>
      <c r="P194" s="58">
        <f ca="1" t="shared" si="26"/>
        <v>2031</v>
      </c>
      <c r="R194" s="56">
        <f t="shared" si="27"/>
        <v>6</v>
      </c>
      <c r="S194" s="57" t="str">
        <f t="shared" si="28"/>
        <v/>
      </c>
      <c r="T194" s="58" t="str">
        <f t="shared" si="29"/>
        <v/>
      </c>
    </row>
    <row r="195" spans="2:20" s="7" customFormat="1" ht="12.75">
      <c r="B195" s="42"/>
      <c r="C195" s="89">
        <f t="shared" si="21"/>
        <v>154</v>
      </c>
      <c r="D195" s="90">
        <f ca="1" t="shared" si="20"/>
        <v>48030</v>
      </c>
      <c r="E195" s="71">
        <f t="shared" si="22"/>
        <v>64431.13999999997</v>
      </c>
      <c r="F195" s="71">
        <f>IF(E195="","",IF(Annuitätenrechner!$F$37&gt;=E195,E195+ROUND(E195*Annuitätenrechner!$E$21/Annuitätenrechner!$O$27,2),Annuitätenrechner!$F$37))</f>
        <v>583.33</v>
      </c>
      <c r="G195" s="71">
        <f>IF(E195="","",+ROUND(E195*Annuitätenrechner!$E$21/Annuitätenrechner!$O$27,2))</f>
        <v>268.46</v>
      </c>
      <c r="H195" s="71">
        <f>IF(E195="","",IF(Annuitätenrechner!$F$37-G195&lt;=E195,Annuitätenrechner!$F$37-G195,E195))</f>
        <v>314.87000000000006</v>
      </c>
      <c r="I195" s="91">
        <f t="shared" si="23"/>
        <v>64116.26999999997</v>
      </c>
      <c r="J195" s="41"/>
      <c r="N195" s="56">
        <f ca="1" t="shared" si="24"/>
        <v>1</v>
      </c>
      <c r="O195" s="57">
        <f t="shared" si="25"/>
        <v>7</v>
      </c>
      <c r="P195" s="58">
        <f ca="1" t="shared" si="26"/>
        <v>2031</v>
      </c>
      <c r="R195" s="56">
        <f t="shared" si="27"/>
        <v>7</v>
      </c>
      <c r="S195" s="57" t="str">
        <f t="shared" si="28"/>
        <v/>
      </c>
      <c r="T195" s="58" t="str">
        <f t="shared" si="29"/>
        <v/>
      </c>
    </row>
    <row r="196" spans="2:20" s="7" customFormat="1" ht="12.75">
      <c r="B196" s="42"/>
      <c r="C196" s="89">
        <f t="shared" si="21"/>
        <v>155</v>
      </c>
      <c r="D196" s="90">
        <f ca="1" t="shared" si="20"/>
        <v>48061</v>
      </c>
      <c r="E196" s="71">
        <f t="shared" si="22"/>
        <v>64116.26999999997</v>
      </c>
      <c r="F196" s="71">
        <f>IF(E196="","",IF(Annuitätenrechner!$F$37&gt;=E196,E196+ROUND(E196*Annuitätenrechner!$E$21/Annuitätenrechner!$O$27,2),Annuitätenrechner!$F$37))</f>
        <v>583.33</v>
      </c>
      <c r="G196" s="71">
        <f>IF(E196="","",+ROUND(E196*Annuitätenrechner!$E$21/Annuitätenrechner!$O$27,2))</f>
        <v>267.15</v>
      </c>
      <c r="H196" s="71">
        <f>IF(E196="","",IF(Annuitätenrechner!$F$37-G196&lt;=E196,Annuitätenrechner!$F$37-G196,E196))</f>
        <v>316.18000000000006</v>
      </c>
      <c r="I196" s="91">
        <f t="shared" si="23"/>
        <v>63800.08999999997</v>
      </c>
      <c r="J196" s="41"/>
      <c r="N196" s="56">
        <f ca="1" t="shared" si="24"/>
        <v>1</v>
      </c>
      <c r="O196" s="57">
        <f t="shared" si="25"/>
        <v>8</v>
      </c>
      <c r="P196" s="58">
        <f ca="1" t="shared" si="26"/>
        <v>2031</v>
      </c>
      <c r="R196" s="56">
        <f t="shared" si="27"/>
        <v>8</v>
      </c>
      <c r="S196" s="57" t="str">
        <f t="shared" si="28"/>
        <v/>
      </c>
      <c r="T196" s="58" t="str">
        <f t="shared" si="29"/>
        <v/>
      </c>
    </row>
    <row r="197" spans="2:20" s="7" customFormat="1" ht="12.75">
      <c r="B197" s="42"/>
      <c r="C197" s="89">
        <f t="shared" si="21"/>
        <v>156</v>
      </c>
      <c r="D197" s="90">
        <f ca="1" t="shared" si="20"/>
        <v>48092</v>
      </c>
      <c r="E197" s="71">
        <f t="shared" si="22"/>
        <v>63800.08999999997</v>
      </c>
      <c r="F197" s="71">
        <f>IF(E197="","",IF(Annuitätenrechner!$F$37&gt;=E197,E197+ROUND(E197*Annuitätenrechner!$E$21/Annuitätenrechner!$O$27,2),Annuitätenrechner!$F$37))</f>
        <v>583.33</v>
      </c>
      <c r="G197" s="71">
        <f>IF(E197="","",+ROUND(E197*Annuitätenrechner!$E$21/Annuitätenrechner!$O$27,2))</f>
        <v>265.83</v>
      </c>
      <c r="H197" s="71">
        <f>IF(E197="","",IF(Annuitätenrechner!$F$37-G197&lt;=E197,Annuitätenrechner!$F$37-G197,E197))</f>
        <v>317.50000000000006</v>
      </c>
      <c r="I197" s="91">
        <f t="shared" si="23"/>
        <v>63482.58999999997</v>
      </c>
      <c r="J197" s="41"/>
      <c r="N197" s="56">
        <f ca="1" t="shared" si="24"/>
        <v>1</v>
      </c>
      <c r="O197" s="57">
        <f t="shared" si="25"/>
        <v>9</v>
      </c>
      <c r="P197" s="58">
        <f ca="1" t="shared" si="26"/>
        <v>2031</v>
      </c>
      <c r="R197" s="56">
        <f t="shared" si="27"/>
        <v>9</v>
      </c>
      <c r="S197" s="57" t="str">
        <f t="shared" si="28"/>
        <v/>
      </c>
      <c r="T197" s="58" t="str">
        <f t="shared" si="29"/>
        <v/>
      </c>
    </row>
    <row r="198" spans="2:20" s="7" customFormat="1" ht="12.75">
      <c r="B198" s="42"/>
      <c r="C198" s="89">
        <f t="shared" si="21"/>
        <v>157</v>
      </c>
      <c r="D198" s="90">
        <f ca="1" t="shared" si="20"/>
        <v>48122</v>
      </c>
      <c r="E198" s="71">
        <f t="shared" si="22"/>
        <v>63482.58999999997</v>
      </c>
      <c r="F198" s="71">
        <f>IF(E198="","",IF(Annuitätenrechner!$F$37&gt;=E198,E198+ROUND(E198*Annuitätenrechner!$E$21/Annuitätenrechner!$O$27,2),Annuitätenrechner!$F$37))</f>
        <v>583.33</v>
      </c>
      <c r="G198" s="71">
        <f>IF(E198="","",+ROUND(E198*Annuitätenrechner!$E$21/Annuitätenrechner!$O$27,2))</f>
        <v>264.51</v>
      </c>
      <c r="H198" s="71">
        <f>IF(E198="","",IF(Annuitätenrechner!$F$37-G198&lt;=E198,Annuitätenrechner!$F$37-G198,E198))</f>
        <v>318.82000000000005</v>
      </c>
      <c r="I198" s="91">
        <f t="shared" si="23"/>
        <v>63163.76999999997</v>
      </c>
      <c r="J198" s="41"/>
      <c r="N198" s="56">
        <f ca="1" t="shared" si="24"/>
        <v>1</v>
      </c>
      <c r="O198" s="57">
        <f t="shared" si="25"/>
        <v>10</v>
      </c>
      <c r="P198" s="58">
        <f ca="1" t="shared" si="26"/>
        <v>2031</v>
      </c>
      <c r="R198" s="56">
        <f t="shared" si="27"/>
        <v>10</v>
      </c>
      <c r="S198" s="57" t="str">
        <f t="shared" si="28"/>
        <v/>
      </c>
      <c r="T198" s="58" t="str">
        <f t="shared" si="29"/>
        <v/>
      </c>
    </row>
    <row r="199" spans="2:20" s="7" customFormat="1" ht="12.75">
      <c r="B199" s="42"/>
      <c r="C199" s="89">
        <f t="shared" si="21"/>
        <v>158</v>
      </c>
      <c r="D199" s="90">
        <f ca="1" t="shared" si="20"/>
        <v>48153</v>
      </c>
      <c r="E199" s="71">
        <f t="shared" si="22"/>
        <v>63163.76999999997</v>
      </c>
      <c r="F199" s="71">
        <f>IF(E199="","",IF(Annuitätenrechner!$F$37&gt;=E199,E199+ROUND(E199*Annuitätenrechner!$E$21/Annuitätenrechner!$O$27,2),Annuitätenrechner!$F$37))</f>
        <v>583.33</v>
      </c>
      <c r="G199" s="71">
        <f>IF(E199="","",+ROUND(E199*Annuitätenrechner!$E$21/Annuitätenrechner!$O$27,2))</f>
        <v>263.18</v>
      </c>
      <c r="H199" s="71">
        <f>IF(E199="","",IF(Annuitätenrechner!$F$37-G199&lt;=E199,Annuitätenrechner!$F$37-G199,E199))</f>
        <v>320.15000000000003</v>
      </c>
      <c r="I199" s="91">
        <f t="shared" si="23"/>
        <v>62843.619999999966</v>
      </c>
      <c r="J199" s="41"/>
      <c r="N199" s="56">
        <f ca="1" t="shared" si="24"/>
        <v>1</v>
      </c>
      <c r="O199" s="57">
        <f t="shared" si="25"/>
        <v>11</v>
      </c>
      <c r="P199" s="58">
        <f ca="1" t="shared" si="26"/>
        <v>2031</v>
      </c>
      <c r="R199" s="56">
        <f t="shared" si="27"/>
        <v>11</v>
      </c>
      <c r="S199" s="57" t="str">
        <f t="shared" si="28"/>
        <v/>
      </c>
      <c r="T199" s="58" t="str">
        <f t="shared" si="29"/>
        <v/>
      </c>
    </row>
    <row r="200" spans="2:20" s="7" customFormat="1" ht="12.75">
      <c r="B200" s="42"/>
      <c r="C200" s="89">
        <f t="shared" si="21"/>
        <v>159</v>
      </c>
      <c r="D200" s="90">
        <f ca="1" t="shared" si="20"/>
        <v>48183</v>
      </c>
      <c r="E200" s="71">
        <f t="shared" si="22"/>
        <v>62843.619999999966</v>
      </c>
      <c r="F200" s="71">
        <f>IF(E200="","",IF(Annuitätenrechner!$F$37&gt;=E200,E200+ROUND(E200*Annuitätenrechner!$E$21/Annuitätenrechner!$O$27,2),Annuitätenrechner!$F$37))</f>
        <v>583.33</v>
      </c>
      <c r="G200" s="71">
        <f>IF(E200="","",+ROUND(E200*Annuitätenrechner!$E$21/Annuitätenrechner!$O$27,2))</f>
        <v>261.85</v>
      </c>
      <c r="H200" s="71">
        <f>IF(E200="","",IF(Annuitätenrechner!$F$37-G200&lt;=E200,Annuitätenrechner!$F$37-G200,E200))</f>
        <v>321.48</v>
      </c>
      <c r="I200" s="91">
        <f t="shared" si="23"/>
        <v>62522.13999999996</v>
      </c>
      <c r="J200" s="41"/>
      <c r="N200" s="56">
        <f ca="1" t="shared" si="24"/>
        <v>1</v>
      </c>
      <c r="O200" s="57">
        <f t="shared" si="25"/>
        <v>12</v>
      </c>
      <c r="P200" s="58">
        <f ca="1" t="shared" si="26"/>
        <v>2031</v>
      </c>
      <c r="R200" s="56">
        <f t="shared" si="27"/>
        <v>12</v>
      </c>
      <c r="S200" s="57" t="str">
        <f t="shared" si="28"/>
        <v/>
      </c>
      <c r="T200" s="58" t="str">
        <f t="shared" si="29"/>
        <v/>
      </c>
    </row>
    <row r="201" spans="2:20" s="7" customFormat="1" ht="12.75">
      <c r="B201" s="42"/>
      <c r="C201" s="89">
        <f t="shared" si="21"/>
        <v>160</v>
      </c>
      <c r="D201" s="90">
        <f ca="1" t="shared" si="20"/>
        <v>48214</v>
      </c>
      <c r="E201" s="71">
        <f t="shared" si="22"/>
        <v>62522.13999999996</v>
      </c>
      <c r="F201" s="71">
        <f>IF(E201="","",IF(Annuitätenrechner!$F$37&gt;=E201,E201+ROUND(E201*Annuitätenrechner!$E$21/Annuitätenrechner!$O$27,2),Annuitätenrechner!$F$37))</f>
        <v>583.33</v>
      </c>
      <c r="G201" s="71">
        <f>IF(E201="","",+ROUND(E201*Annuitätenrechner!$E$21/Annuitätenrechner!$O$27,2))</f>
        <v>260.51</v>
      </c>
      <c r="H201" s="71">
        <f>IF(E201="","",IF(Annuitätenrechner!$F$37-G201&lt;=E201,Annuitätenrechner!$F$37-G201,E201))</f>
        <v>322.82000000000005</v>
      </c>
      <c r="I201" s="91">
        <f t="shared" si="23"/>
        <v>62199.31999999996</v>
      </c>
      <c r="J201" s="41"/>
      <c r="N201" s="56">
        <f ca="1" t="shared" si="24"/>
        <v>1</v>
      </c>
      <c r="O201" s="57">
        <f t="shared" si="25"/>
        <v>1</v>
      </c>
      <c r="P201" s="58">
        <f ca="1" t="shared" si="26"/>
        <v>2032</v>
      </c>
      <c r="R201" s="56">
        <f t="shared" si="27"/>
        <v>1</v>
      </c>
      <c r="S201" s="57" t="str">
        <f t="shared" si="28"/>
        <v/>
      </c>
      <c r="T201" s="58" t="str">
        <f t="shared" si="29"/>
        <v/>
      </c>
    </row>
    <row r="202" spans="2:20" s="7" customFormat="1" ht="12.75">
      <c r="B202" s="42"/>
      <c r="C202" s="89">
        <f t="shared" si="21"/>
        <v>161</v>
      </c>
      <c r="D202" s="90">
        <f ca="1" t="shared" si="20"/>
        <v>48245</v>
      </c>
      <c r="E202" s="71">
        <f t="shared" si="22"/>
        <v>62199.31999999996</v>
      </c>
      <c r="F202" s="71">
        <f>IF(E202="","",IF(Annuitätenrechner!$F$37&gt;=E202,E202+ROUND(E202*Annuitätenrechner!$E$21/Annuitätenrechner!$O$27,2),Annuitätenrechner!$F$37))</f>
        <v>583.33</v>
      </c>
      <c r="G202" s="71">
        <f>IF(E202="","",+ROUND(E202*Annuitätenrechner!$E$21/Annuitätenrechner!$O$27,2))</f>
        <v>259.16</v>
      </c>
      <c r="H202" s="71">
        <f>IF(E202="","",IF(Annuitätenrechner!$F$37-G202&lt;=E202,Annuitätenrechner!$F$37-G202,E202))</f>
        <v>324.17</v>
      </c>
      <c r="I202" s="91">
        <f t="shared" si="23"/>
        <v>61875.149999999965</v>
      </c>
      <c r="J202" s="41"/>
      <c r="N202" s="56">
        <f ca="1" t="shared" si="24"/>
        <v>1</v>
      </c>
      <c r="O202" s="57">
        <f t="shared" si="25"/>
        <v>2</v>
      </c>
      <c r="P202" s="58">
        <f ca="1" t="shared" si="26"/>
        <v>2032</v>
      </c>
      <c r="R202" s="56">
        <f t="shared" si="27"/>
        <v>2</v>
      </c>
      <c r="S202" s="57" t="str">
        <f t="shared" si="28"/>
        <v/>
      </c>
      <c r="T202" s="58" t="str">
        <f t="shared" si="29"/>
        <v/>
      </c>
    </row>
    <row r="203" spans="2:20" s="7" customFormat="1" ht="12.75">
      <c r="B203" s="42"/>
      <c r="C203" s="89">
        <f t="shared" si="21"/>
        <v>162</v>
      </c>
      <c r="D203" s="90">
        <f ca="1" t="shared" si="20"/>
        <v>48274</v>
      </c>
      <c r="E203" s="71">
        <f t="shared" si="22"/>
        <v>61875.149999999965</v>
      </c>
      <c r="F203" s="71">
        <f>IF(E203="","",IF(Annuitätenrechner!$F$37&gt;=E203,E203+ROUND(E203*Annuitätenrechner!$E$21/Annuitätenrechner!$O$27,2),Annuitätenrechner!$F$37))</f>
        <v>583.33</v>
      </c>
      <c r="G203" s="71">
        <f>IF(E203="","",+ROUND(E203*Annuitätenrechner!$E$21/Annuitätenrechner!$O$27,2))</f>
        <v>257.81</v>
      </c>
      <c r="H203" s="71">
        <f>IF(E203="","",IF(Annuitätenrechner!$F$37-G203&lt;=E203,Annuitätenrechner!$F$37-G203,E203))</f>
        <v>325.52000000000004</v>
      </c>
      <c r="I203" s="91">
        <f t="shared" si="23"/>
        <v>61549.62999999997</v>
      </c>
      <c r="J203" s="41"/>
      <c r="N203" s="56">
        <f ca="1" t="shared" si="24"/>
        <v>1</v>
      </c>
      <c r="O203" s="57">
        <f t="shared" si="25"/>
        <v>3</v>
      </c>
      <c r="P203" s="58">
        <f ca="1" t="shared" si="26"/>
        <v>2032</v>
      </c>
      <c r="R203" s="56">
        <f t="shared" si="27"/>
        <v>3</v>
      </c>
      <c r="S203" s="57" t="str">
        <f t="shared" si="28"/>
        <v/>
      </c>
      <c r="T203" s="58" t="str">
        <f t="shared" si="29"/>
        <v/>
      </c>
    </row>
    <row r="204" spans="2:20" s="7" customFormat="1" ht="12.75">
      <c r="B204" s="42"/>
      <c r="C204" s="89">
        <f t="shared" si="21"/>
        <v>163</v>
      </c>
      <c r="D204" s="90">
        <f ca="1" t="shared" si="20"/>
        <v>48305</v>
      </c>
      <c r="E204" s="71">
        <f t="shared" si="22"/>
        <v>61549.62999999997</v>
      </c>
      <c r="F204" s="71">
        <f>IF(E204="","",IF(Annuitätenrechner!$F$37&gt;=E204,E204+ROUND(E204*Annuitätenrechner!$E$21/Annuitätenrechner!$O$27,2),Annuitätenrechner!$F$37))</f>
        <v>583.33</v>
      </c>
      <c r="G204" s="71">
        <f>IF(E204="","",+ROUND(E204*Annuitätenrechner!$E$21/Annuitätenrechner!$O$27,2))</f>
        <v>256.46</v>
      </c>
      <c r="H204" s="71">
        <f>IF(E204="","",IF(Annuitätenrechner!$F$37-G204&lt;=E204,Annuitätenrechner!$F$37-G204,E204))</f>
        <v>326.87000000000006</v>
      </c>
      <c r="I204" s="91">
        <f t="shared" si="23"/>
        <v>61222.759999999966</v>
      </c>
      <c r="J204" s="41"/>
      <c r="N204" s="56">
        <f ca="1" t="shared" si="24"/>
        <v>1</v>
      </c>
      <c r="O204" s="57">
        <f t="shared" si="25"/>
        <v>4</v>
      </c>
      <c r="P204" s="58">
        <f ca="1" t="shared" si="26"/>
        <v>2032</v>
      </c>
      <c r="R204" s="56">
        <f t="shared" si="27"/>
        <v>4</v>
      </c>
      <c r="S204" s="57" t="str">
        <f t="shared" si="28"/>
        <v/>
      </c>
      <c r="T204" s="58" t="str">
        <f t="shared" si="29"/>
        <v/>
      </c>
    </row>
    <row r="205" spans="2:20" s="7" customFormat="1" ht="12.75">
      <c r="B205" s="42"/>
      <c r="C205" s="89">
        <f t="shared" si="21"/>
        <v>164</v>
      </c>
      <c r="D205" s="90">
        <f ca="1" t="shared" si="20"/>
        <v>48335</v>
      </c>
      <c r="E205" s="71">
        <f t="shared" si="22"/>
        <v>61222.759999999966</v>
      </c>
      <c r="F205" s="71">
        <f>IF(E205="","",IF(Annuitätenrechner!$F$37&gt;=E205,E205+ROUND(E205*Annuitätenrechner!$E$21/Annuitätenrechner!$O$27,2),Annuitätenrechner!$F$37))</f>
        <v>583.33</v>
      </c>
      <c r="G205" s="71">
        <f>IF(E205="","",+ROUND(E205*Annuitätenrechner!$E$21/Annuitätenrechner!$O$27,2))</f>
        <v>255.09</v>
      </c>
      <c r="H205" s="71">
        <f>IF(E205="","",IF(Annuitätenrechner!$F$37-G205&lt;=E205,Annuitätenrechner!$F$37-G205,E205))</f>
        <v>328.24</v>
      </c>
      <c r="I205" s="91">
        <f t="shared" si="23"/>
        <v>60894.51999999997</v>
      </c>
      <c r="J205" s="41"/>
      <c r="N205" s="56">
        <f ca="1" t="shared" si="24"/>
        <v>1</v>
      </c>
      <c r="O205" s="57">
        <f t="shared" si="25"/>
        <v>5</v>
      </c>
      <c r="P205" s="58">
        <f ca="1" t="shared" si="26"/>
        <v>2032</v>
      </c>
      <c r="R205" s="56">
        <f t="shared" si="27"/>
        <v>5</v>
      </c>
      <c r="S205" s="57" t="str">
        <f t="shared" si="28"/>
        <v/>
      </c>
      <c r="T205" s="58" t="str">
        <f t="shared" si="29"/>
        <v/>
      </c>
    </row>
    <row r="206" spans="2:20" s="7" customFormat="1" ht="12.75">
      <c r="B206" s="42"/>
      <c r="C206" s="89">
        <f t="shared" si="21"/>
        <v>165</v>
      </c>
      <c r="D206" s="90">
        <f ca="1" t="shared" si="20"/>
        <v>48366</v>
      </c>
      <c r="E206" s="71">
        <f t="shared" si="22"/>
        <v>60894.51999999997</v>
      </c>
      <c r="F206" s="71">
        <f>IF(E206="","",IF(Annuitätenrechner!$F$37&gt;=E206,E206+ROUND(E206*Annuitätenrechner!$E$21/Annuitätenrechner!$O$27,2),Annuitätenrechner!$F$37))</f>
        <v>583.33</v>
      </c>
      <c r="G206" s="71">
        <f>IF(E206="","",+ROUND(E206*Annuitätenrechner!$E$21/Annuitätenrechner!$O$27,2))</f>
        <v>253.73</v>
      </c>
      <c r="H206" s="71">
        <f>IF(E206="","",IF(Annuitätenrechner!$F$37-G206&lt;=E206,Annuitätenrechner!$F$37-G206,E206))</f>
        <v>329.6</v>
      </c>
      <c r="I206" s="91">
        <f t="shared" si="23"/>
        <v>60564.91999999997</v>
      </c>
      <c r="J206" s="41"/>
      <c r="N206" s="56">
        <f ca="1" t="shared" si="24"/>
        <v>1</v>
      </c>
      <c r="O206" s="57">
        <f t="shared" si="25"/>
        <v>6</v>
      </c>
      <c r="P206" s="58">
        <f ca="1" t="shared" si="26"/>
        <v>2032</v>
      </c>
      <c r="R206" s="56">
        <f t="shared" si="27"/>
        <v>6</v>
      </c>
      <c r="S206" s="57" t="str">
        <f t="shared" si="28"/>
        <v/>
      </c>
      <c r="T206" s="58" t="str">
        <f t="shared" si="29"/>
        <v/>
      </c>
    </row>
    <row r="207" spans="2:20" s="7" customFormat="1" ht="12.75">
      <c r="B207" s="42"/>
      <c r="C207" s="89">
        <f t="shared" si="21"/>
        <v>166</v>
      </c>
      <c r="D207" s="90">
        <f ca="1" t="shared" si="20"/>
        <v>48396</v>
      </c>
      <c r="E207" s="71">
        <f t="shared" si="22"/>
        <v>60564.91999999997</v>
      </c>
      <c r="F207" s="71">
        <f>IF(E207="","",IF(Annuitätenrechner!$F$37&gt;=E207,E207+ROUND(E207*Annuitätenrechner!$E$21/Annuitätenrechner!$O$27,2),Annuitätenrechner!$F$37))</f>
        <v>583.33</v>
      </c>
      <c r="G207" s="71">
        <f>IF(E207="","",+ROUND(E207*Annuitätenrechner!$E$21/Annuitätenrechner!$O$27,2))</f>
        <v>252.35</v>
      </c>
      <c r="H207" s="71">
        <f>IF(E207="","",IF(Annuitätenrechner!$F$37-G207&lt;=E207,Annuitätenrechner!$F$37-G207,E207))</f>
        <v>330.98</v>
      </c>
      <c r="I207" s="91">
        <f t="shared" si="23"/>
        <v>60233.939999999966</v>
      </c>
      <c r="J207" s="41"/>
      <c r="N207" s="56">
        <f ca="1" t="shared" si="24"/>
        <v>1</v>
      </c>
      <c r="O207" s="57">
        <f t="shared" si="25"/>
        <v>7</v>
      </c>
      <c r="P207" s="58">
        <f ca="1" t="shared" si="26"/>
        <v>2032</v>
      </c>
      <c r="R207" s="56">
        <f t="shared" si="27"/>
        <v>7</v>
      </c>
      <c r="S207" s="57" t="str">
        <f t="shared" si="28"/>
        <v/>
      </c>
      <c r="T207" s="58" t="str">
        <f t="shared" si="29"/>
        <v/>
      </c>
    </row>
    <row r="208" spans="2:20" s="7" customFormat="1" ht="12.75">
      <c r="B208" s="42"/>
      <c r="C208" s="89">
        <f t="shared" si="21"/>
        <v>167</v>
      </c>
      <c r="D208" s="90">
        <f ca="1" t="shared" si="20"/>
        <v>48427</v>
      </c>
      <c r="E208" s="71">
        <f t="shared" si="22"/>
        <v>60233.939999999966</v>
      </c>
      <c r="F208" s="71">
        <f>IF(E208="","",IF(Annuitätenrechner!$F$37&gt;=E208,E208+ROUND(E208*Annuitätenrechner!$E$21/Annuitätenrechner!$O$27,2),Annuitätenrechner!$F$37))</f>
        <v>583.33</v>
      </c>
      <c r="G208" s="71">
        <f>IF(E208="","",+ROUND(E208*Annuitätenrechner!$E$21/Annuitätenrechner!$O$27,2))</f>
        <v>250.97</v>
      </c>
      <c r="H208" s="71">
        <f>IF(E208="","",IF(Annuitätenrechner!$F$37-G208&lt;=E208,Annuitätenrechner!$F$37-G208,E208))</f>
        <v>332.36</v>
      </c>
      <c r="I208" s="91">
        <f t="shared" si="23"/>
        <v>59901.579999999965</v>
      </c>
      <c r="J208" s="41"/>
      <c r="N208" s="56">
        <f ca="1" t="shared" si="24"/>
        <v>1</v>
      </c>
      <c r="O208" s="57">
        <f t="shared" si="25"/>
        <v>8</v>
      </c>
      <c r="P208" s="58">
        <f ca="1" t="shared" si="26"/>
        <v>2032</v>
      </c>
      <c r="R208" s="56">
        <f t="shared" si="27"/>
        <v>8</v>
      </c>
      <c r="S208" s="57" t="str">
        <f t="shared" si="28"/>
        <v/>
      </c>
      <c r="T208" s="58" t="str">
        <f t="shared" si="29"/>
        <v/>
      </c>
    </row>
    <row r="209" spans="2:20" s="7" customFormat="1" ht="12.75">
      <c r="B209" s="42"/>
      <c r="C209" s="89">
        <f t="shared" si="21"/>
        <v>168</v>
      </c>
      <c r="D209" s="90">
        <f ca="1" t="shared" si="20"/>
        <v>48458</v>
      </c>
      <c r="E209" s="71">
        <f t="shared" si="22"/>
        <v>59901.579999999965</v>
      </c>
      <c r="F209" s="71">
        <f>IF(E209="","",IF(Annuitätenrechner!$F$37&gt;=E209,E209+ROUND(E209*Annuitätenrechner!$E$21/Annuitätenrechner!$O$27,2),Annuitätenrechner!$F$37))</f>
        <v>583.33</v>
      </c>
      <c r="G209" s="71">
        <f>IF(E209="","",+ROUND(E209*Annuitätenrechner!$E$21/Annuitätenrechner!$O$27,2))</f>
        <v>249.59</v>
      </c>
      <c r="H209" s="71">
        <f>IF(E209="","",IF(Annuitätenrechner!$F$37-G209&lt;=E209,Annuitätenrechner!$F$37-G209,E209))</f>
        <v>333.74</v>
      </c>
      <c r="I209" s="91">
        <f t="shared" si="23"/>
        <v>59567.83999999997</v>
      </c>
      <c r="J209" s="41"/>
      <c r="N209" s="56">
        <f ca="1" t="shared" si="24"/>
        <v>1</v>
      </c>
      <c r="O209" s="57">
        <f t="shared" si="25"/>
        <v>9</v>
      </c>
      <c r="P209" s="58">
        <f ca="1" t="shared" si="26"/>
        <v>2032</v>
      </c>
      <c r="R209" s="56">
        <f t="shared" si="27"/>
        <v>9</v>
      </c>
      <c r="S209" s="57" t="str">
        <f t="shared" si="28"/>
        <v/>
      </c>
      <c r="T209" s="58" t="str">
        <f t="shared" si="29"/>
        <v/>
      </c>
    </row>
    <row r="210" spans="2:20" s="7" customFormat="1" ht="12.75">
      <c r="B210" s="42"/>
      <c r="C210" s="89">
        <f t="shared" si="21"/>
        <v>169</v>
      </c>
      <c r="D210" s="90">
        <f ca="1" t="shared" si="20"/>
        <v>48488</v>
      </c>
      <c r="E210" s="71">
        <f t="shared" si="22"/>
        <v>59567.83999999997</v>
      </c>
      <c r="F210" s="71">
        <f>IF(E210="","",IF(Annuitätenrechner!$F$37&gt;=E210,E210+ROUND(E210*Annuitätenrechner!$E$21/Annuitätenrechner!$O$27,2),Annuitätenrechner!$F$37))</f>
        <v>583.33</v>
      </c>
      <c r="G210" s="71">
        <f>IF(E210="","",+ROUND(E210*Annuitätenrechner!$E$21/Annuitätenrechner!$O$27,2))</f>
        <v>248.2</v>
      </c>
      <c r="H210" s="71">
        <f>IF(E210="","",IF(Annuitätenrechner!$F$37-G210&lt;=E210,Annuitätenrechner!$F$37-G210,E210))</f>
        <v>335.13000000000005</v>
      </c>
      <c r="I210" s="91">
        <f t="shared" si="23"/>
        <v>59232.70999999997</v>
      </c>
      <c r="J210" s="41"/>
      <c r="N210" s="56">
        <f ca="1" t="shared" si="24"/>
        <v>1</v>
      </c>
      <c r="O210" s="57">
        <f t="shared" si="25"/>
        <v>10</v>
      </c>
      <c r="P210" s="58">
        <f ca="1" t="shared" si="26"/>
        <v>2032</v>
      </c>
      <c r="R210" s="56">
        <f t="shared" si="27"/>
        <v>10</v>
      </c>
      <c r="S210" s="57" t="str">
        <f t="shared" si="28"/>
        <v/>
      </c>
      <c r="T210" s="58" t="str">
        <f t="shared" si="29"/>
        <v/>
      </c>
    </row>
    <row r="211" spans="2:20" s="7" customFormat="1" ht="12.75">
      <c r="B211" s="42"/>
      <c r="C211" s="89">
        <f t="shared" si="21"/>
        <v>170</v>
      </c>
      <c r="D211" s="90">
        <f ca="1" t="shared" si="20"/>
        <v>48519</v>
      </c>
      <c r="E211" s="71">
        <f t="shared" si="22"/>
        <v>59232.70999999997</v>
      </c>
      <c r="F211" s="71">
        <f>IF(E211="","",IF(Annuitätenrechner!$F$37&gt;=E211,E211+ROUND(E211*Annuitätenrechner!$E$21/Annuitätenrechner!$O$27,2),Annuitätenrechner!$F$37))</f>
        <v>583.33</v>
      </c>
      <c r="G211" s="71">
        <f>IF(E211="","",+ROUND(E211*Annuitätenrechner!$E$21/Annuitätenrechner!$O$27,2))</f>
        <v>246.8</v>
      </c>
      <c r="H211" s="71">
        <f>IF(E211="","",IF(Annuitätenrechner!$F$37-G211&lt;=E211,Annuitätenrechner!$F$37-G211,E211))</f>
        <v>336.53000000000003</v>
      </c>
      <c r="I211" s="91">
        <f t="shared" si="23"/>
        <v>58896.17999999997</v>
      </c>
      <c r="J211" s="41"/>
      <c r="N211" s="56">
        <f ca="1" t="shared" si="24"/>
        <v>1</v>
      </c>
      <c r="O211" s="57">
        <f t="shared" si="25"/>
        <v>11</v>
      </c>
      <c r="P211" s="58">
        <f ca="1" t="shared" si="26"/>
        <v>2032</v>
      </c>
      <c r="R211" s="56">
        <f t="shared" si="27"/>
        <v>11</v>
      </c>
      <c r="S211" s="57" t="str">
        <f t="shared" si="28"/>
        <v/>
      </c>
      <c r="T211" s="58" t="str">
        <f t="shared" si="29"/>
        <v/>
      </c>
    </row>
    <row r="212" spans="2:20" s="7" customFormat="1" ht="12.75">
      <c r="B212" s="42"/>
      <c r="C212" s="89">
        <f t="shared" si="21"/>
        <v>171</v>
      </c>
      <c r="D212" s="90">
        <f ca="1" t="shared" si="20"/>
        <v>48549</v>
      </c>
      <c r="E212" s="71">
        <f t="shared" si="22"/>
        <v>58896.17999999997</v>
      </c>
      <c r="F212" s="71">
        <f>IF(E212="","",IF(Annuitätenrechner!$F$37&gt;=E212,E212+ROUND(E212*Annuitätenrechner!$E$21/Annuitätenrechner!$O$27,2),Annuitätenrechner!$F$37))</f>
        <v>583.33</v>
      </c>
      <c r="G212" s="71">
        <f>IF(E212="","",+ROUND(E212*Annuitätenrechner!$E$21/Annuitätenrechner!$O$27,2))</f>
        <v>245.4</v>
      </c>
      <c r="H212" s="71">
        <f>IF(E212="","",IF(Annuitätenrechner!$F$37-G212&lt;=E212,Annuitätenrechner!$F$37-G212,E212))</f>
        <v>337.93000000000006</v>
      </c>
      <c r="I212" s="91">
        <f t="shared" si="23"/>
        <v>58558.24999999997</v>
      </c>
      <c r="J212" s="41"/>
      <c r="N212" s="56">
        <f ca="1" t="shared" si="24"/>
        <v>1</v>
      </c>
      <c r="O212" s="57">
        <f t="shared" si="25"/>
        <v>12</v>
      </c>
      <c r="P212" s="58">
        <f ca="1" t="shared" si="26"/>
        <v>2032</v>
      </c>
      <c r="R212" s="56">
        <f t="shared" si="27"/>
        <v>12</v>
      </c>
      <c r="S212" s="57" t="str">
        <f t="shared" si="28"/>
        <v/>
      </c>
      <c r="T212" s="58" t="str">
        <f t="shared" si="29"/>
        <v/>
      </c>
    </row>
    <row r="213" spans="2:20" s="7" customFormat="1" ht="12.75">
      <c r="B213" s="42"/>
      <c r="C213" s="89">
        <f t="shared" si="21"/>
        <v>172</v>
      </c>
      <c r="D213" s="90">
        <f ca="1" t="shared" si="20"/>
        <v>48580</v>
      </c>
      <c r="E213" s="71">
        <f t="shared" si="22"/>
        <v>58558.24999999997</v>
      </c>
      <c r="F213" s="71">
        <f>IF(E213="","",IF(Annuitätenrechner!$F$37&gt;=E213,E213+ROUND(E213*Annuitätenrechner!$E$21/Annuitätenrechner!$O$27,2),Annuitätenrechner!$F$37))</f>
        <v>583.33</v>
      </c>
      <c r="G213" s="71">
        <f>IF(E213="","",+ROUND(E213*Annuitätenrechner!$E$21/Annuitätenrechner!$O$27,2))</f>
        <v>243.99</v>
      </c>
      <c r="H213" s="71">
        <f>IF(E213="","",IF(Annuitätenrechner!$F$37-G213&lt;=E213,Annuitätenrechner!$F$37-G213,E213))</f>
        <v>339.34000000000003</v>
      </c>
      <c r="I213" s="91">
        <f t="shared" si="23"/>
        <v>58218.909999999974</v>
      </c>
      <c r="J213" s="41"/>
      <c r="N213" s="56">
        <f ca="1" t="shared" si="24"/>
        <v>1</v>
      </c>
      <c r="O213" s="57">
        <f t="shared" si="25"/>
        <v>1</v>
      </c>
      <c r="P213" s="58">
        <f ca="1" t="shared" si="26"/>
        <v>2033</v>
      </c>
      <c r="R213" s="56">
        <f t="shared" si="27"/>
        <v>1</v>
      </c>
      <c r="S213" s="57" t="str">
        <f t="shared" si="28"/>
        <v/>
      </c>
      <c r="T213" s="58" t="str">
        <f t="shared" si="29"/>
        <v/>
      </c>
    </row>
    <row r="214" spans="2:20" s="7" customFormat="1" ht="12.75">
      <c r="B214" s="42"/>
      <c r="C214" s="89">
        <f t="shared" si="21"/>
        <v>173</v>
      </c>
      <c r="D214" s="90">
        <f ca="1" t="shared" si="20"/>
        <v>48611</v>
      </c>
      <c r="E214" s="71">
        <f t="shared" si="22"/>
        <v>58218.909999999974</v>
      </c>
      <c r="F214" s="71">
        <f>IF(E214="","",IF(Annuitätenrechner!$F$37&gt;=E214,E214+ROUND(E214*Annuitätenrechner!$E$21/Annuitätenrechner!$O$27,2),Annuitätenrechner!$F$37))</f>
        <v>583.33</v>
      </c>
      <c r="G214" s="71">
        <f>IF(E214="","",+ROUND(E214*Annuitätenrechner!$E$21/Annuitätenrechner!$O$27,2))</f>
        <v>242.58</v>
      </c>
      <c r="H214" s="71">
        <f>IF(E214="","",IF(Annuitätenrechner!$F$37-G214&lt;=E214,Annuitätenrechner!$F$37-G214,E214))</f>
        <v>340.75</v>
      </c>
      <c r="I214" s="91">
        <f t="shared" si="23"/>
        <v>57878.159999999974</v>
      </c>
      <c r="J214" s="41"/>
      <c r="N214" s="56">
        <f ca="1" t="shared" si="24"/>
        <v>1</v>
      </c>
      <c r="O214" s="57">
        <f t="shared" si="25"/>
        <v>2</v>
      </c>
      <c r="P214" s="58">
        <f ca="1" t="shared" si="26"/>
        <v>2033</v>
      </c>
      <c r="R214" s="56">
        <f t="shared" si="27"/>
        <v>2</v>
      </c>
      <c r="S214" s="57" t="str">
        <f t="shared" si="28"/>
        <v/>
      </c>
      <c r="T214" s="58" t="str">
        <f t="shared" si="29"/>
        <v/>
      </c>
    </row>
    <row r="215" spans="2:20" s="7" customFormat="1" ht="12.75">
      <c r="B215" s="42"/>
      <c r="C215" s="89">
        <f t="shared" si="21"/>
        <v>174</v>
      </c>
      <c r="D215" s="90">
        <f ca="1" t="shared" si="20"/>
        <v>48639</v>
      </c>
      <c r="E215" s="71">
        <f t="shared" si="22"/>
        <v>57878.159999999974</v>
      </c>
      <c r="F215" s="71">
        <f>IF(E215="","",IF(Annuitätenrechner!$F$37&gt;=E215,E215+ROUND(E215*Annuitätenrechner!$E$21/Annuitätenrechner!$O$27,2),Annuitätenrechner!$F$37))</f>
        <v>583.33</v>
      </c>
      <c r="G215" s="71">
        <f>IF(E215="","",+ROUND(E215*Annuitätenrechner!$E$21/Annuitätenrechner!$O$27,2))</f>
        <v>241.16</v>
      </c>
      <c r="H215" s="71">
        <f>IF(E215="","",IF(Annuitätenrechner!$F$37-G215&lt;=E215,Annuitätenrechner!$F$37-G215,E215))</f>
        <v>342.1700000000001</v>
      </c>
      <c r="I215" s="91">
        <f t="shared" si="23"/>
        <v>57535.989999999976</v>
      </c>
      <c r="J215" s="41"/>
      <c r="N215" s="56">
        <f ca="1" t="shared" si="24"/>
        <v>1</v>
      </c>
      <c r="O215" s="57">
        <f t="shared" si="25"/>
        <v>3</v>
      </c>
      <c r="P215" s="58">
        <f ca="1" t="shared" si="26"/>
        <v>2033</v>
      </c>
      <c r="R215" s="56">
        <f t="shared" si="27"/>
        <v>3</v>
      </c>
      <c r="S215" s="57" t="str">
        <f t="shared" si="28"/>
        <v/>
      </c>
      <c r="T215" s="58" t="str">
        <f t="shared" si="29"/>
        <v/>
      </c>
    </row>
    <row r="216" spans="2:20" s="7" customFormat="1" ht="12.75">
      <c r="B216" s="42"/>
      <c r="C216" s="89">
        <f t="shared" si="21"/>
        <v>175</v>
      </c>
      <c r="D216" s="90">
        <f ca="1" t="shared" si="20"/>
        <v>48670</v>
      </c>
      <c r="E216" s="71">
        <f t="shared" si="22"/>
        <v>57535.989999999976</v>
      </c>
      <c r="F216" s="71">
        <f>IF(E216="","",IF(Annuitätenrechner!$F$37&gt;=E216,E216+ROUND(E216*Annuitätenrechner!$E$21/Annuitätenrechner!$O$27,2),Annuitätenrechner!$F$37))</f>
        <v>583.33</v>
      </c>
      <c r="G216" s="71">
        <f>IF(E216="","",+ROUND(E216*Annuitätenrechner!$E$21/Annuitätenrechner!$O$27,2))</f>
        <v>239.73</v>
      </c>
      <c r="H216" s="71">
        <f>IF(E216="","",IF(Annuitätenrechner!$F$37-G216&lt;=E216,Annuitätenrechner!$F$37-G216,E216))</f>
        <v>343.6</v>
      </c>
      <c r="I216" s="91">
        <f t="shared" si="23"/>
        <v>57192.38999999998</v>
      </c>
      <c r="J216" s="41"/>
      <c r="N216" s="56">
        <f ca="1" t="shared" si="24"/>
        <v>1</v>
      </c>
      <c r="O216" s="57">
        <f t="shared" si="25"/>
        <v>4</v>
      </c>
      <c r="P216" s="58">
        <f ca="1" t="shared" si="26"/>
        <v>2033</v>
      </c>
      <c r="R216" s="56">
        <f t="shared" si="27"/>
        <v>4</v>
      </c>
      <c r="S216" s="57" t="str">
        <f t="shared" si="28"/>
        <v/>
      </c>
      <c r="T216" s="58" t="str">
        <f t="shared" si="29"/>
        <v/>
      </c>
    </row>
    <row r="217" spans="2:20" s="7" customFormat="1" ht="12.75">
      <c r="B217" s="42"/>
      <c r="C217" s="89">
        <f t="shared" si="21"/>
        <v>176</v>
      </c>
      <c r="D217" s="90">
        <f ca="1" t="shared" si="20"/>
        <v>48700</v>
      </c>
      <c r="E217" s="71">
        <f t="shared" si="22"/>
        <v>57192.38999999998</v>
      </c>
      <c r="F217" s="71">
        <f>IF(E217="","",IF(Annuitätenrechner!$F$37&gt;=E217,E217+ROUND(E217*Annuitätenrechner!$E$21/Annuitätenrechner!$O$27,2),Annuitätenrechner!$F$37))</f>
        <v>583.33</v>
      </c>
      <c r="G217" s="71">
        <f>IF(E217="","",+ROUND(E217*Annuitätenrechner!$E$21/Annuitätenrechner!$O$27,2))</f>
        <v>238.3</v>
      </c>
      <c r="H217" s="71">
        <f>IF(E217="","",IF(Annuitätenrechner!$F$37-G217&lt;=E217,Annuitätenrechner!$F$37-G217,E217))</f>
        <v>345.03000000000003</v>
      </c>
      <c r="I217" s="91">
        <f t="shared" si="23"/>
        <v>56847.35999999998</v>
      </c>
      <c r="J217" s="41"/>
      <c r="N217" s="56">
        <f ca="1" t="shared" si="24"/>
        <v>1</v>
      </c>
      <c r="O217" s="57">
        <f t="shared" si="25"/>
        <v>5</v>
      </c>
      <c r="P217" s="58">
        <f ca="1" t="shared" si="26"/>
        <v>2033</v>
      </c>
      <c r="R217" s="56">
        <f t="shared" si="27"/>
        <v>5</v>
      </c>
      <c r="S217" s="57" t="str">
        <f t="shared" si="28"/>
        <v/>
      </c>
      <c r="T217" s="58" t="str">
        <f t="shared" si="29"/>
        <v/>
      </c>
    </row>
    <row r="218" spans="2:20" s="7" customFormat="1" ht="12.75">
      <c r="B218" s="42"/>
      <c r="C218" s="89">
        <f t="shared" si="21"/>
        <v>177</v>
      </c>
      <c r="D218" s="90">
        <f ca="1" t="shared" si="20"/>
        <v>48731</v>
      </c>
      <c r="E218" s="71">
        <f t="shared" si="22"/>
        <v>56847.35999999998</v>
      </c>
      <c r="F218" s="71">
        <f>IF(E218="","",IF(Annuitätenrechner!$F$37&gt;=E218,E218+ROUND(E218*Annuitätenrechner!$E$21/Annuitätenrechner!$O$27,2),Annuitätenrechner!$F$37))</f>
        <v>583.33</v>
      </c>
      <c r="G218" s="71">
        <f>IF(E218="","",+ROUND(E218*Annuitätenrechner!$E$21/Annuitätenrechner!$O$27,2))</f>
        <v>236.86</v>
      </c>
      <c r="H218" s="71">
        <f>IF(E218="","",IF(Annuitätenrechner!$F$37-G218&lt;=E218,Annuitätenrechner!$F$37-G218,E218))</f>
        <v>346.47</v>
      </c>
      <c r="I218" s="91">
        <f t="shared" si="23"/>
        <v>56500.88999999998</v>
      </c>
      <c r="J218" s="41"/>
      <c r="N218" s="56">
        <f ca="1" t="shared" si="24"/>
        <v>1</v>
      </c>
      <c r="O218" s="57">
        <f t="shared" si="25"/>
        <v>6</v>
      </c>
      <c r="P218" s="58">
        <f ca="1" t="shared" si="26"/>
        <v>2033</v>
      </c>
      <c r="R218" s="56">
        <f t="shared" si="27"/>
        <v>6</v>
      </c>
      <c r="S218" s="57" t="str">
        <f t="shared" si="28"/>
        <v/>
      </c>
      <c r="T218" s="58" t="str">
        <f t="shared" si="29"/>
        <v/>
      </c>
    </row>
    <row r="219" spans="2:20" s="7" customFormat="1" ht="12.75">
      <c r="B219" s="42"/>
      <c r="C219" s="89">
        <f t="shared" si="21"/>
        <v>178</v>
      </c>
      <c r="D219" s="90">
        <f ca="1" t="shared" si="20"/>
        <v>48761</v>
      </c>
      <c r="E219" s="71">
        <f t="shared" si="22"/>
        <v>56500.88999999998</v>
      </c>
      <c r="F219" s="71">
        <f>IF(E219="","",IF(Annuitätenrechner!$F$37&gt;=E219,E219+ROUND(E219*Annuitätenrechner!$E$21/Annuitätenrechner!$O$27,2),Annuitätenrechner!$F$37))</f>
        <v>583.33</v>
      </c>
      <c r="G219" s="71">
        <f>IF(E219="","",+ROUND(E219*Annuitätenrechner!$E$21/Annuitätenrechner!$O$27,2))</f>
        <v>235.42</v>
      </c>
      <c r="H219" s="71">
        <f>IF(E219="","",IF(Annuitätenrechner!$F$37-G219&lt;=E219,Annuitätenrechner!$F$37-G219,E219))</f>
        <v>347.9100000000001</v>
      </c>
      <c r="I219" s="91">
        <f t="shared" si="23"/>
        <v>56152.979999999974</v>
      </c>
      <c r="J219" s="41"/>
      <c r="N219" s="56">
        <f ca="1" t="shared" si="24"/>
        <v>1</v>
      </c>
      <c r="O219" s="57">
        <f t="shared" si="25"/>
        <v>7</v>
      </c>
      <c r="P219" s="58">
        <f ca="1" t="shared" si="26"/>
        <v>2033</v>
      </c>
      <c r="R219" s="56">
        <f t="shared" si="27"/>
        <v>7</v>
      </c>
      <c r="S219" s="57" t="str">
        <f t="shared" si="28"/>
        <v/>
      </c>
      <c r="T219" s="58" t="str">
        <f t="shared" si="29"/>
        <v/>
      </c>
    </row>
    <row r="220" spans="2:20" s="7" customFormat="1" ht="12.75">
      <c r="B220" s="42"/>
      <c r="C220" s="89">
        <f t="shared" si="21"/>
        <v>179</v>
      </c>
      <c r="D220" s="90">
        <f ca="1" t="shared" si="20"/>
        <v>48792</v>
      </c>
      <c r="E220" s="71">
        <f t="shared" si="22"/>
        <v>56152.979999999974</v>
      </c>
      <c r="F220" s="71">
        <f>IF(E220="","",IF(Annuitätenrechner!$F$37&gt;=E220,E220+ROUND(E220*Annuitätenrechner!$E$21/Annuitätenrechner!$O$27,2),Annuitätenrechner!$F$37))</f>
        <v>583.33</v>
      </c>
      <c r="G220" s="71">
        <f>IF(E220="","",+ROUND(E220*Annuitätenrechner!$E$21/Annuitätenrechner!$O$27,2))</f>
        <v>233.97</v>
      </c>
      <c r="H220" s="71">
        <f>IF(E220="","",IF(Annuitätenrechner!$F$37-G220&lt;=E220,Annuitätenrechner!$F$37-G220,E220))</f>
        <v>349.36</v>
      </c>
      <c r="I220" s="91">
        <f t="shared" si="23"/>
        <v>55803.61999999997</v>
      </c>
      <c r="J220" s="41"/>
      <c r="N220" s="56">
        <f ca="1" t="shared" si="24"/>
        <v>1</v>
      </c>
      <c r="O220" s="57">
        <f t="shared" si="25"/>
        <v>8</v>
      </c>
      <c r="P220" s="58">
        <f ca="1" t="shared" si="26"/>
        <v>2033</v>
      </c>
      <c r="R220" s="56">
        <f t="shared" si="27"/>
        <v>8</v>
      </c>
      <c r="S220" s="57" t="str">
        <f t="shared" si="28"/>
        <v/>
      </c>
      <c r="T220" s="58" t="str">
        <f t="shared" si="29"/>
        <v/>
      </c>
    </row>
    <row r="221" spans="2:20" s="7" customFormat="1" ht="12.75">
      <c r="B221" s="42"/>
      <c r="C221" s="89">
        <f t="shared" si="21"/>
        <v>180</v>
      </c>
      <c r="D221" s="90">
        <f ca="1" t="shared" si="20"/>
        <v>48823</v>
      </c>
      <c r="E221" s="71">
        <f t="shared" si="22"/>
        <v>55803.61999999997</v>
      </c>
      <c r="F221" s="71">
        <f>IF(E221="","",IF(Annuitätenrechner!$F$37&gt;=E221,E221+ROUND(E221*Annuitätenrechner!$E$21/Annuitätenrechner!$O$27,2),Annuitätenrechner!$F$37))</f>
        <v>583.33</v>
      </c>
      <c r="G221" s="71">
        <f>IF(E221="","",+ROUND(E221*Annuitätenrechner!$E$21/Annuitätenrechner!$O$27,2))</f>
        <v>232.52</v>
      </c>
      <c r="H221" s="71">
        <f>IF(E221="","",IF(Annuitätenrechner!$F$37-G221&lt;=E221,Annuitätenrechner!$F$37-G221,E221))</f>
        <v>350.81000000000006</v>
      </c>
      <c r="I221" s="91">
        <f t="shared" si="23"/>
        <v>55452.809999999976</v>
      </c>
      <c r="J221" s="41"/>
      <c r="N221" s="56">
        <f ca="1" t="shared" si="24"/>
        <v>1</v>
      </c>
      <c r="O221" s="57">
        <f t="shared" si="25"/>
        <v>9</v>
      </c>
      <c r="P221" s="58">
        <f ca="1" t="shared" si="26"/>
        <v>2033</v>
      </c>
      <c r="R221" s="56">
        <f t="shared" si="27"/>
        <v>9</v>
      </c>
      <c r="S221" s="57" t="str">
        <f t="shared" si="28"/>
        <v/>
      </c>
      <c r="T221" s="58" t="str">
        <f t="shared" si="29"/>
        <v/>
      </c>
    </row>
    <row r="222" spans="2:20" s="7" customFormat="1" ht="12.75">
      <c r="B222" s="42"/>
      <c r="C222" s="89">
        <f t="shared" si="21"/>
        <v>181</v>
      </c>
      <c r="D222" s="90">
        <f ca="1" t="shared" si="20"/>
        <v>48853</v>
      </c>
      <c r="E222" s="71">
        <f t="shared" si="22"/>
        <v>55452.809999999976</v>
      </c>
      <c r="F222" s="71">
        <f>IF(E222="","",IF(Annuitätenrechner!$F$37&gt;=E222,E222+ROUND(E222*Annuitätenrechner!$E$21/Annuitätenrechner!$O$27,2),Annuitätenrechner!$F$37))</f>
        <v>583.33</v>
      </c>
      <c r="G222" s="71">
        <f>IF(E222="","",+ROUND(E222*Annuitätenrechner!$E$21/Annuitätenrechner!$O$27,2))</f>
        <v>231.05</v>
      </c>
      <c r="H222" s="71">
        <f>IF(E222="","",IF(Annuitätenrechner!$F$37-G222&lt;=E222,Annuitätenrechner!$F$37-G222,E222))</f>
        <v>352.28000000000003</v>
      </c>
      <c r="I222" s="91">
        <f t="shared" si="23"/>
        <v>55100.52999999998</v>
      </c>
      <c r="J222" s="41"/>
      <c r="N222" s="56">
        <f ca="1" t="shared" si="24"/>
        <v>1</v>
      </c>
      <c r="O222" s="57">
        <f t="shared" si="25"/>
        <v>10</v>
      </c>
      <c r="P222" s="58">
        <f ca="1" t="shared" si="26"/>
        <v>2033</v>
      </c>
      <c r="R222" s="56">
        <f t="shared" si="27"/>
        <v>10</v>
      </c>
      <c r="S222" s="57" t="str">
        <f t="shared" si="28"/>
        <v/>
      </c>
      <c r="T222" s="58" t="str">
        <f t="shared" si="29"/>
        <v/>
      </c>
    </row>
    <row r="223" spans="2:20" s="7" customFormat="1" ht="12.75">
      <c r="B223" s="42"/>
      <c r="C223" s="89">
        <f t="shared" si="21"/>
        <v>182</v>
      </c>
      <c r="D223" s="90">
        <f ca="1" t="shared" si="20"/>
        <v>48884</v>
      </c>
      <c r="E223" s="71">
        <f t="shared" si="22"/>
        <v>55100.52999999998</v>
      </c>
      <c r="F223" s="71">
        <f>IF(E223="","",IF(Annuitätenrechner!$F$37&gt;=E223,E223+ROUND(E223*Annuitätenrechner!$E$21/Annuitätenrechner!$O$27,2),Annuitätenrechner!$F$37))</f>
        <v>583.33</v>
      </c>
      <c r="G223" s="71">
        <f>IF(E223="","",+ROUND(E223*Annuitätenrechner!$E$21/Annuitätenrechner!$O$27,2))</f>
        <v>229.59</v>
      </c>
      <c r="H223" s="71">
        <f>IF(E223="","",IF(Annuitätenrechner!$F$37-G223&lt;=E223,Annuitätenrechner!$F$37-G223,E223))</f>
        <v>353.74</v>
      </c>
      <c r="I223" s="91">
        <f t="shared" si="23"/>
        <v>54746.78999999998</v>
      </c>
      <c r="J223" s="41"/>
      <c r="N223" s="56">
        <f ca="1" t="shared" si="24"/>
        <v>1</v>
      </c>
      <c r="O223" s="57">
        <f t="shared" si="25"/>
        <v>11</v>
      </c>
      <c r="P223" s="58">
        <f ca="1" t="shared" si="26"/>
        <v>2033</v>
      </c>
      <c r="R223" s="56">
        <f t="shared" si="27"/>
        <v>11</v>
      </c>
      <c r="S223" s="57" t="str">
        <f t="shared" si="28"/>
        <v/>
      </c>
      <c r="T223" s="58" t="str">
        <f t="shared" si="29"/>
        <v/>
      </c>
    </row>
    <row r="224" spans="2:20" s="7" customFormat="1" ht="12.75">
      <c r="B224" s="42"/>
      <c r="C224" s="89">
        <f t="shared" si="21"/>
        <v>183</v>
      </c>
      <c r="D224" s="90">
        <f ca="1" t="shared" si="20"/>
        <v>48914</v>
      </c>
      <c r="E224" s="71">
        <f t="shared" si="22"/>
        <v>54746.78999999998</v>
      </c>
      <c r="F224" s="71">
        <f>IF(E224="","",IF(Annuitätenrechner!$F$37&gt;=E224,E224+ROUND(E224*Annuitätenrechner!$E$21/Annuitätenrechner!$O$27,2),Annuitätenrechner!$F$37))</f>
        <v>583.33</v>
      </c>
      <c r="G224" s="71">
        <f>IF(E224="","",+ROUND(E224*Annuitätenrechner!$E$21/Annuitätenrechner!$O$27,2))</f>
        <v>228.11</v>
      </c>
      <c r="H224" s="71">
        <f>IF(E224="","",IF(Annuitätenrechner!$F$37-G224&lt;=E224,Annuitätenrechner!$F$37-G224,E224))</f>
        <v>355.22</v>
      </c>
      <c r="I224" s="91">
        <f t="shared" si="23"/>
        <v>54391.56999999998</v>
      </c>
      <c r="J224" s="41"/>
      <c r="N224" s="56">
        <f ca="1" t="shared" si="24"/>
        <v>1</v>
      </c>
      <c r="O224" s="57">
        <f t="shared" si="25"/>
        <v>12</v>
      </c>
      <c r="P224" s="58">
        <f ca="1" t="shared" si="26"/>
        <v>2033</v>
      </c>
      <c r="R224" s="56">
        <f t="shared" si="27"/>
        <v>12</v>
      </c>
      <c r="S224" s="57" t="str">
        <f t="shared" si="28"/>
        <v/>
      </c>
      <c r="T224" s="58" t="str">
        <f t="shared" si="29"/>
        <v/>
      </c>
    </row>
    <row r="225" spans="2:20" s="7" customFormat="1" ht="12.75">
      <c r="B225" s="42"/>
      <c r="C225" s="89">
        <f t="shared" si="21"/>
        <v>184</v>
      </c>
      <c r="D225" s="90">
        <f ca="1" t="shared" si="20"/>
        <v>48945</v>
      </c>
      <c r="E225" s="71">
        <f t="shared" si="22"/>
        <v>54391.56999999998</v>
      </c>
      <c r="F225" s="71">
        <f>IF(E225="","",IF(Annuitätenrechner!$F$37&gt;=E225,E225+ROUND(E225*Annuitätenrechner!$E$21/Annuitätenrechner!$O$27,2),Annuitätenrechner!$F$37))</f>
        <v>583.33</v>
      </c>
      <c r="G225" s="71">
        <f>IF(E225="","",+ROUND(E225*Annuitätenrechner!$E$21/Annuitätenrechner!$O$27,2))</f>
        <v>226.63</v>
      </c>
      <c r="H225" s="71">
        <f>IF(E225="","",IF(Annuitätenrechner!$F$37-G225&lt;=E225,Annuitätenrechner!$F$37-G225,E225))</f>
        <v>356.70000000000005</v>
      </c>
      <c r="I225" s="91">
        <f t="shared" si="23"/>
        <v>54034.86999999998</v>
      </c>
      <c r="J225" s="41"/>
      <c r="N225" s="56">
        <f ca="1" t="shared" si="24"/>
        <v>1</v>
      </c>
      <c r="O225" s="57">
        <f t="shared" si="25"/>
        <v>1</v>
      </c>
      <c r="P225" s="58">
        <f ca="1" t="shared" si="26"/>
        <v>2034</v>
      </c>
      <c r="R225" s="56">
        <f t="shared" si="27"/>
        <v>1</v>
      </c>
      <c r="S225" s="57" t="str">
        <f t="shared" si="28"/>
        <v/>
      </c>
      <c r="T225" s="58" t="str">
        <f t="shared" si="29"/>
        <v/>
      </c>
    </row>
    <row r="226" spans="2:20" s="7" customFormat="1" ht="12.75">
      <c r="B226" s="42"/>
      <c r="C226" s="89">
        <f t="shared" si="21"/>
        <v>185</v>
      </c>
      <c r="D226" s="90">
        <f ca="1" t="shared" si="20"/>
        <v>48976</v>
      </c>
      <c r="E226" s="71">
        <f t="shared" si="22"/>
        <v>54034.86999999998</v>
      </c>
      <c r="F226" s="71">
        <f>IF(E226="","",IF(Annuitätenrechner!$F$37&gt;=E226,E226+ROUND(E226*Annuitätenrechner!$E$21/Annuitätenrechner!$O$27,2),Annuitätenrechner!$F$37))</f>
        <v>583.33</v>
      </c>
      <c r="G226" s="71">
        <f>IF(E226="","",+ROUND(E226*Annuitätenrechner!$E$21/Annuitätenrechner!$O$27,2))</f>
        <v>225.15</v>
      </c>
      <c r="H226" s="71">
        <f>IF(E226="","",IF(Annuitätenrechner!$F$37-G226&lt;=E226,Annuitätenrechner!$F$37-G226,E226))</f>
        <v>358.18000000000006</v>
      </c>
      <c r="I226" s="91">
        <f t="shared" si="23"/>
        <v>53676.68999999998</v>
      </c>
      <c r="J226" s="41"/>
      <c r="N226" s="56">
        <f ca="1" t="shared" si="24"/>
        <v>1</v>
      </c>
      <c r="O226" s="57">
        <f t="shared" si="25"/>
        <v>2</v>
      </c>
      <c r="P226" s="58">
        <f ca="1" t="shared" si="26"/>
        <v>2034</v>
      </c>
      <c r="R226" s="56">
        <f t="shared" si="27"/>
        <v>2</v>
      </c>
      <c r="S226" s="57" t="str">
        <f t="shared" si="28"/>
        <v/>
      </c>
      <c r="T226" s="58" t="str">
        <f t="shared" si="29"/>
        <v/>
      </c>
    </row>
    <row r="227" spans="2:20" s="7" customFormat="1" ht="12.75">
      <c r="B227" s="42"/>
      <c r="C227" s="89">
        <f t="shared" si="21"/>
        <v>186</v>
      </c>
      <c r="D227" s="90">
        <f ca="1" t="shared" si="20"/>
        <v>49004</v>
      </c>
      <c r="E227" s="71">
        <f t="shared" si="22"/>
        <v>53676.68999999998</v>
      </c>
      <c r="F227" s="71">
        <f>IF(E227="","",IF(Annuitätenrechner!$F$37&gt;=E227,E227+ROUND(E227*Annuitätenrechner!$E$21/Annuitätenrechner!$O$27,2),Annuitätenrechner!$F$37))</f>
        <v>583.33</v>
      </c>
      <c r="G227" s="71">
        <f>IF(E227="","",+ROUND(E227*Annuitätenrechner!$E$21/Annuitätenrechner!$O$27,2))</f>
        <v>223.65</v>
      </c>
      <c r="H227" s="71">
        <f>IF(E227="","",IF(Annuitätenrechner!$F$37-G227&lt;=E227,Annuitätenrechner!$F$37-G227,E227))</f>
        <v>359.68000000000006</v>
      </c>
      <c r="I227" s="91">
        <f t="shared" si="23"/>
        <v>53317.00999999998</v>
      </c>
      <c r="J227" s="41"/>
      <c r="N227" s="56">
        <f ca="1" t="shared" si="24"/>
        <v>1</v>
      </c>
      <c r="O227" s="57">
        <f t="shared" si="25"/>
        <v>3</v>
      </c>
      <c r="P227" s="58">
        <f ca="1" t="shared" si="26"/>
        <v>2034</v>
      </c>
      <c r="R227" s="56">
        <f t="shared" si="27"/>
        <v>3</v>
      </c>
      <c r="S227" s="57" t="str">
        <f t="shared" si="28"/>
        <v/>
      </c>
      <c r="T227" s="58" t="str">
        <f t="shared" si="29"/>
        <v/>
      </c>
    </row>
    <row r="228" spans="2:20" s="7" customFormat="1" ht="12.75">
      <c r="B228" s="42"/>
      <c r="C228" s="89">
        <f t="shared" si="21"/>
        <v>187</v>
      </c>
      <c r="D228" s="90">
        <f ca="1" t="shared" si="20"/>
        <v>49035</v>
      </c>
      <c r="E228" s="71">
        <f t="shared" si="22"/>
        <v>53317.00999999998</v>
      </c>
      <c r="F228" s="71">
        <f>IF(E228="","",IF(Annuitätenrechner!$F$37&gt;=E228,E228+ROUND(E228*Annuitätenrechner!$E$21/Annuitätenrechner!$O$27,2),Annuitätenrechner!$F$37))</f>
        <v>583.33</v>
      </c>
      <c r="G228" s="71">
        <f>IF(E228="","",+ROUND(E228*Annuitätenrechner!$E$21/Annuitätenrechner!$O$27,2))</f>
        <v>222.15</v>
      </c>
      <c r="H228" s="71">
        <f>IF(E228="","",IF(Annuitätenrechner!$F$37-G228&lt;=E228,Annuitätenrechner!$F$37-G228,E228))</f>
        <v>361.18000000000006</v>
      </c>
      <c r="I228" s="91">
        <f t="shared" si="23"/>
        <v>52955.82999999998</v>
      </c>
      <c r="J228" s="41"/>
      <c r="N228" s="56">
        <f ca="1" t="shared" si="24"/>
        <v>1</v>
      </c>
      <c r="O228" s="57">
        <f t="shared" si="25"/>
        <v>4</v>
      </c>
      <c r="P228" s="58">
        <f ca="1" t="shared" si="26"/>
        <v>2034</v>
      </c>
      <c r="R228" s="56">
        <f t="shared" si="27"/>
        <v>4</v>
      </c>
      <c r="S228" s="57" t="str">
        <f t="shared" si="28"/>
        <v/>
      </c>
      <c r="T228" s="58" t="str">
        <f t="shared" si="29"/>
        <v/>
      </c>
    </row>
    <row r="229" spans="2:20" s="7" customFormat="1" ht="12.75">
      <c r="B229" s="42"/>
      <c r="C229" s="89">
        <f t="shared" si="21"/>
        <v>188</v>
      </c>
      <c r="D229" s="90">
        <f ca="1" t="shared" si="20"/>
        <v>49065</v>
      </c>
      <c r="E229" s="71">
        <f t="shared" si="22"/>
        <v>52955.82999999998</v>
      </c>
      <c r="F229" s="71">
        <f>IF(E229="","",IF(Annuitätenrechner!$F$37&gt;=E229,E229+ROUND(E229*Annuitätenrechner!$E$21/Annuitätenrechner!$O$27,2),Annuitätenrechner!$F$37))</f>
        <v>583.33</v>
      </c>
      <c r="G229" s="71">
        <f>IF(E229="","",+ROUND(E229*Annuitätenrechner!$E$21/Annuitätenrechner!$O$27,2))</f>
        <v>220.65</v>
      </c>
      <c r="H229" s="71">
        <f>IF(E229="","",IF(Annuitätenrechner!$F$37-G229&lt;=E229,Annuitätenrechner!$F$37-G229,E229))</f>
        <v>362.68000000000006</v>
      </c>
      <c r="I229" s="91">
        <f t="shared" si="23"/>
        <v>52593.14999999998</v>
      </c>
      <c r="J229" s="41"/>
      <c r="N229" s="56">
        <f ca="1" t="shared" si="24"/>
        <v>1</v>
      </c>
      <c r="O229" s="57">
        <f t="shared" si="25"/>
        <v>5</v>
      </c>
      <c r="P229" s="58">
        <f ca="1" t="shared" si="26"/>
        <v>2034</v>
      </c>
      <c r="R229" s="56">
        <f t="shared" si="27"/>
        <v>5</v>
      </c>
      <c r="S229" s="57" t="str">
        <f t="shared" si="28"/>
        <v/>
      </c>
      <c r="T229" s="58" t="str">
        <f t="shared" si="29"/>
        <v/>
      </c>
    </row>
    <row r="230" spans="2:20" s="7" customFormat="1" ht="12.75">
      <c r="B230" s="42"/>
      <c r="C230" s="89">
        <f t="shared" si="21"/>
        <v>189</v>
      </c>
      <c r="D230" s="90">
        <f ca="1" t="shared" si="20"/>
        <v>49096</v>
      </c>
      <c r="E230" s="71">
        <f t="shared" si="22"/>
        <v>52593.14999999998</v>
      </c>
      <c r="F230" s="71">
        <f>IF(E230="","",IF(Annuitätenrechner!$F$37&gt;=E230,E230+ROUND(E230*Annuitätenrechner!$E$21/Annuitätenrechner!$O$27,2),Annuitätenrechner!$F$37))</f>
        <v>583.33</v>
      </c>
      <c r="G230" s="71">
        <f>IF(E230="","",+ROUND(E230*Annuitätenrechner!$E$21/Annuitätenrechner!$O$27,2))</f>
        <v>219.14</v>
      </c>
      <c r="H230" s="71">
        <f>IF(E230="","",IF(Annuitätenrechner!$F$37-G230&lt;=E230,Annuitätenrechner!$F$37-G230,E230))</f>
        <v>364.19000000000005</v>
      </c>
      <c r="I230" s="91">
        <f t="shared" si="23"/>
        <v>52228.95999999998</v>
      </c>
      <c r="J230" s="41"/>
      <c r="N230" s="56">
        <f ca="1" t="shared" si="24"/>
        <v>1</v>
      </c>
      <c r="O230" s="57">
        <f t="shared" si="25"/>
        <v>6</v>
      </c>
      <c r="P230" s="58">
        <f ca="1" t="shared" si="26"/>
        <v>2034</v>
      </c>
      <c r="R230" s="56">
        <f t="shared" si="27"/>
        <v>6</v>
      </c>
      <c r="S230" s="57" t="str">
        <f t="shared" si="28"/>
        <v/>
      </c>
      <c r="T230" s="58" t="str">
        <f t="shared" si="29"/>
        <v/>
      </c>
    </row>
    <row r="231" spans="2:20" s="7" customFormat="1" ht="12.75">
      <c r="B231" s="42"/>
      <c r="C231" s="89">
        <f t="shared" si="21"/>
        <v>190</v>
      </c>
      <c r="D231" s="90">
        <f ca="1" t="shared" si="20"/>
        <v>49126</v>
      </c>
      <c r="E231" s="71">
        <f t="shared" si="22"/>
        <v>52228.95999999998</v>
      </c>
      <c r="F231" s="71">
        <f>IF(E231="","",IF(Annuitätenrechner!$F$37&gt;=E231,E231+ROUND(E231*Annuitätenrechner!$E$21/Annuitätenrechner!$O$27,2),Annuitätenrechner!$F$37))</f>
        <v>583.33</v>
      </c>
      <c r="G231" s="71">
        <f>IF(E231="","",+ROUND(E231*Annuitätenrechner!$E$21/Annuitätenrechner!$O$27,2))</f>
        <v>217.62</v>
      </c>
      <c r="H231" s="71">
        <f>IF(E231="","",IF(Annuitätenrechner!$F$37-G231&lt;=E231,Annuitätenrechner!$F$37-G231,E231))</f>
        <v>365.71000000000004</v>
      </c>
      <c r="I231" s="91">
        <f t="shared" si="23"/>
        <v>51863.24999999998</v>
      </c>
      <c r="J231" s="41"/>
      <c r="N231" s="56">
        <f ca="1" t="shared" si="24"/>
        <v>1</v>
      </c>
      <c r="O231" s="57">
        <f t="shared" si="25"/>
        <v>7</v>
      </c>
      <c r="P231" s="58">
        <f ca="1" t="shared" si="26"/>
        <v>2034</v>
      </c>
      <c r="R231" s="56">
        <f t="shared" si="27"/>
        <v>7</v>
      </c>
      <c r="S231" s="57" t="str">
        <f t="shared" si="28"/>
        <v/>
      </c>
      <c r="T231" s="58" t="str">
        <f t="shared" si="29"/>
        <v/>
      </c>
    </row>
    <row r="232" spans="2:20" s="7" customFormat="1" ht="12.75">
      <c r="B232" s="42"/>
      <c r="C232" s="89">
        <f t="shared" si="21"/>
        <v>191</v>
      </c>
      <c r="D232" s="90">
        <f ca="1" t="shared" si="20"/>
        <v>49157</v>
      </c>
      <c r="E232" s="71">
        <f t="shared" si="22"/>
        <v>51863.24999999998</v>
      </c>
      <c r="F232" s="71">
        <f>IF(E232="","",IF(Annuitätenrechner!$F$37&gt;=E232,E232+ROUND(E232*Annuitätenrechner!$E$21/Annuitätenrechner!$O$27,2),Annuitätenrechner!$F$37))</f>
        <v>583.33</v>
      </c>
      <c r="G232" s="71">
        <f>IF(E232="","",+ROUND(E232*Annuitätenrechner!$E$21/Annuitätenrechner!$O$27,2))</f>
        <v>216.1</v>
      </c>
      <c r="H232" s="71">
        <f>IF(E232="","",IF(Annuitätenrechner!$F$37-G232&lt;=E232,Annuitätenrechner!$F$37-G232,E232))</f>
        <v>367.23</v>
      </c>
      <c r="I232" s="91">
        <f t="shared" si="23"/>
        <v>51496.019999999975</v>
      </c>
      <c r="J232" s="41"/>
      <c r="N232" s="56">
        <f ca="1" t="shared" si="24"/>
        <v>1</v>
      </c>
      <c r="O232" s="57">
        <f t="shared" si="25"/>
        <v>8</v>
      </c>
      <c r="P232" s="58">
        <f ca="1" t="shared" si="26"/>
        <v>2034</v>
      </c>
      <c r="R232" s="56">
        <f t="shared" si="27"/>
        <v>8</v>
      </c>
      <c r="S232" s="57" t="str">
        <f t="shared" si="28"/>
        <v/>
      </c>
      <c r="T232" s="58" t="str">
        <f t="shared" si="29"/>
        <v/>
      </c>
    </row>
    <row r="233" spans="2:20" s="7" customFormat="1" ht="12.75">
      <c r="B233" s="42"/>
      <c r="C233" s="89">
        <f t="shared" si="21"/>
        <v>192</v>
      </c>
      <c r="D233" s="90">
        <f ca="1" t="shared" si="20"/>
        <v>49188</v>
      </c>
      <c r="E233" s="71">
        <f t="shared" si="22"/>
        <v>51496.019999999975</v>
      </c>
      <c r="F233" s="71">
        <f>IF(E233="","",IF(Annuitätenrechner!$F$37&gt;=E233,E233+ROUND(E233*Annuitätenrechner!$E$21/Annuitätenrechner!$O$27,2),Annuitätenrechner!$F$37))</f>
        <v>583.33</v>
      </c>
      <c r="G233" s="71">
        <f>IF(E233="","",+ROUND(E233*Annuitätenrechner!$E$21/Annuitätenrechner!$O$27,2))</f>
        <v>214.57</v>
      </c>
      <c r="H233" s="71">
        <f>IF(E233="","",IF(Annuitätenrechner!$F$37-G233&lt;=E233,Annuitätenrechner!$F$37-G233,E233))</f>
        <v>368.76000000000005</v>
      </c>
      <c r="I233" s="91">
        <f t="shared" si="23"/>
        <v>51127.25999999997</v>
      </c>
      <c r="J233" s="41"/>
      <c r="N233" s="56">
        <f ca="1" t="shared" si="24"/>
        <v>1</v>
      </c>
      <c r="O233" s="57">
        <f t="shared" si="25"/>
        <v>9</v>
      </c>
      <c r="P233" s="58">
        <f ca="1" t="shared" si="26"/>
        <v>2034</v>
      </c>
      <c r="R233" s="56">
        <f t="shared" si="27"/>
        <v>9</v>
      </c>
      <c r="S233" s="57" t="str">
        <f t="shared" si="28"/>
        <v/>
      </c>
      <c r="T233" s="58" t="str">
        <f t="shared" si="29"/>
        <v/>
      </c>
    </row>
    <row r="234" spans="2:20" s="7" customFormat="1" ht="12.75">
      <c r="B234" s="42"/>
      <c r="C234" s="89">
        <f t="shared" si="21"/>
        <v>193</v>
      </c>
      <c r="D234" s="90">
        <f ca="1" t="shared" si="20"/>
        <v>49218</v>
      </c>
      <c r="E234" s="71">
        <f t="shared" si="22"/>
        <v>51127.25999999997</v>
      </c>
      <c r="F234" s="71">
        <f>IF(E234="","",IF(Annuitätenrechner!$F$37&gt;=E234,E234+ROUND(E234*Annuitätenrechner!$E$21/Annuitätenrechner!$O$27,2),Annuitätenrechner!$F$37))</f>
        <v>583.33</v>
      </c>
      <c r="G234" s="71">
        <f>IF(E234="","",+ROUND(E234*Annuitätenrechner!$E$21/Annuitätenrechner!$O$27,2))</f>
        <v>213.03</v>
      </c>
      <c r="H234" s="71">
        <f>IF(E234="","",IF(Annuitätenrechner!$F$37-G234&lt;=E234,Annuitätenrechner!$F$37-G234,E234))</f>
        <v>370.30000000000007</v>
      </c>
      <c r="I234" s="91">
        <f t="shared" si="23"/>
        <v>50756.95999999997</v>
      </c>
      <c r="J234" s="41"/>
      <c r="N234" s="56">
        <f ca="1" t="shared" si="24"/>
        <v>1</v>
      </c>
      <c r="O234" s="57">
        <f t="shared" si="25"/>
        <v>10</v>
      </c>
      <c r="P234" s="58">
        <f ca="1" t="shared" si="26"/>
        <v>2034</v>
      </c>
      <c r="R234" s="56">
        <f t="shared" si="27"/>
        <v>10</v>
      </c>
      <c r="S234" s="57" t="str">
        <f t="shared" si="28"/>
        <v/>
      </c>
      <c r="T234" s="58" t="str">
        <f t="shared" si="29"/>
        <v/>
      </c>
    </row>
    <row r="235" spans="2:20" s="7" customFormat="1" ht="12.75">
      <c r="B235" s="42"/>
      <c r="C235" s="89">
        <f t="shared" si="21"/>
        <v>194</v>
      </c>
      <c r="D235" s="90">
        <f aca="true" t="shared" si="30" ref="D235:D278">IF(OR(I234="",I234=0),"",DATE(P235,O235,N235))</f>
        <v>49249</v>
      </c>
      <c r="E235" s="71">
        <f t="shared" si="22"/>
        <v>50756.95999999997</v>
      </c>
      <c r="F235" s="71">
        <f>IF(E235="","",IF(Annuitätenrechner!$F$37&gt;=E235,E235+ROUND(E235*Annuitätenrechner!$E$21/Annuitätenrechner!$O$27,2),Annuitätenrechner!$F$37))</f>
        <v>583.33</v>
      </c>
      <c r="G235" s="71">
        <f>IF(E235="","",+ROUND(E235*Annuitätenrechner!$E$21/Annuitätenrechner!$O$27,2))</f>
        <v>211.49</v>
      </c>
      <c r="H235" s="71">
        <f>IF(E235="","",IF(Annuitätenrechner!$F$37-G235&lt;=E235,Annuitätenrechner!$F$37-G235,E235))</f>
        <v>371.84000000000003</v>
      </c>
      <c r="I235" s="91">
        <f t="shared" si="23"/>
        <v>50385.11999999997</v>
      </c>
      <c r="J235" s="41"/>
      <c r="N235" s="56">
        <f ca="1" t="shared" si="24"/>
        <v>1</v>
      </c>
      <c r="O235" s="57">
        <f t="shared" si="25"/>
        <v>11</v>
      </c>
      <c r="P235" s="58">
        <f ca="1" t="shared" si="26"/>
        <v>2034</v>
      </c>
      <c r="R235" s="56">
        <f t="shared" si="27"/>
        <v>11</v>
      </c>
      <c r="S235" s="57" t="str">
        <f t="shared" si="28"/>
        <v/>
      </c>
      <c r="T235" s="58" t="str">
        <f t="shared" si="29"/>
        <v/>
      </c>
    </row>
    <row r="236" spans="2:20" s="7" customFormat="1" ht="12.75">
      <c r="B236" s="42"/>
      <c r="C236" s="89">
        <f aca="true" t="shared" si="31" ref="C236:C278">+IF(E236="","",C235+1)</f>
        <v>195</v>
      </c>
      <c r="D236" s="90">
        <f ca="1" t="shared" si="30"/>
        <v>49279</v>
      </c>
      <c r="E236" s="71">
        <f aca="true" t="shared" si="32" ref="E236:E278">IF(OR(I235=0,I235=""),"",I235)</f>
        <v>50385.11999999997</v>
      </c>
      <c r="F236" s="71">
        <f>IF(E236="","",IF(Annuitätenrechner!$F$37&gt;=E236,E236+ROUND(E236*Annuitätenrechner!$E$21/Annuitätenrechner!$O$27,2),Annuitätenrechner!$F$37))</f>
        <v>583.33</v>
      </c>
      <c r="G236" s="71">
        <f>IF(E236="","",+ROUND(E236*Annuitätenrechner!$E$21/Annuitätenrechner!$O$27,2))</f>
        <v>209.94</v>
      </c>
      <c r="H236" s="71">
        <f>IF(E236="","",IF(Annuitätenrechner!$F$37-G236&lt;=E236,Annuitätenrechner!$F$37-G236,E236))</f>
        <v>373.39000000000004</v>
      </c>
      <c r="I236" s="91">
        <f aca="true" t="shared" si="33" ref="I236:I278">IF(OR(I235="",I235=0),"",E236-H236)</f>
        <v>50011.729999999974</v>
      </c>
      <c r="J236" s="41"/>
      <c r="N236" s="56">
        <f aca="true" t="shared" si="34" ref="N236:N278">+N235</f>
        <v>1</v>
      </c>
      <c r="O236" s="57">
        <f aca="true" t="shared" si="35" ref="O236:O278">+IF(R236&lt;&gt;"",R236,IF(S236&lt;&gt;"",S236,T236))</f>
        <v>12</v>
      </c>
      <c r="P236" s="58">
        <f aca="true" t="shared" si="36" ref="P236:P278">+IF(O236&lt;O235,P235+1,P235)</f>
        <v>2034</v>
      </c>
      <c r="R236" s="56">
        <f aca="true" t="shared" si="37" ref="R236:R367">+IF(AND(R$40=12,$O$40=12),IF($O235=12,1,$O235+1),"")</f>
        <v>12</v>
      </c>
      <c r="S236" s="57" t="str">
        <f aca="true" t="shared" si="38" ref="S236:S278">+IF(AND(S$40=4,$O$40=4),IF($O235&gt;=10,O235+3-12,$O235+3),"")</f>
        <v/>
      </c>
      <c r="T236" s="58" t="str">
        <f aca="true" t="shared" si="39" ref="T236:T278">+IF(AND(T$40=1,$O$40=1),O235,"")</f>
        <v/>
      </c>
    </row>
    <row r="237" spans="2:20" s="7" customFormat="1" ht="12.75">
      <c r="B237" s="42"/>
      <c r="C237" s="89">
        <f t="shared" si="31"/>
        <v>196</v>
      </c>
      <c r="D237" s="90">
        <f ca="1" t="shared" si="30"/>
        <v>49310</v>
      </c>
      <c r="E237" s="71">
        <f t="shared" si="32"/>
        <v>50011.729999999974</v>
      </c>
      <c r="F237" s="71">
        <f>IF(E237="","",IF(Annuitätenrechner!$F$37&gt;=E237,E237+ROUND(E237*Annuitätenrechner!$E$21/Annuitätenrechner!$O$27,2),Annuitätenrechner!$F$37))</f>
        <v>583.33</v>
      </c>
      <c r="G237" s="71">
        <f>IF(E237="","",+ROUND(E237*Annuitätenrechner!$E$21/Annuitätenrechner!$O$27,2))</f>
        <v>208.38</v>
      </c>
      <c r="H237" s="71">
        <f>IF(E237="","",IF(Annuitätenrechner!$F$37-G237&lt;=E237,Annuitätenrechner!$F$37-G237,E237))</f>
        <v>374.95000000000005</v>
      </c>
      <c r="I237" s="91">
        <f t="shared" si="33"/>
        <v>49636.77999999998</v>
      </c>
      <c r="J237" s="41"/>
      <c r="N237" s="56">
        <f ca="1" t="shared" si="34"/>
        <v>1</v>
      </c>
      <c r="O237" s="57">
        <f t="shared" si="35"/>
        <v>1</v>
      </c>
      <c r="P237" s="58">
        <f ca="1" t="shared" si="36"/>
        <v>2035</v>
      </c>
      <c r="R237" s="56">
        <f t="shared" si="37"/>
        <v>1</v>
      </c>
      <c r="S237" s="57" t="str">
        <f t="shared" si="38"/>
        <v/>
      </c>
      <c r="T237" s="58" t="str">
        <f t="shared" si="39"/>
        <v/>
      </c>
    </row>
    <row r="238" spans="2:20" s="7" customFormat="1" ht="12.75">
      <c r="B238" s="42"/>
      <c r="C238" s="89">
        <f t="shared" si="31"/>
        <v>197</v>
      </c>
      <c r="D238" s="90">
        <f ca="1" t="shared" si="30"/>
        <v>49341</v>
      </c>
      <c r="E238" s="71">
        <f t="shared" si="32"/>
        <v>49636.77999999998</v>
      </c>
      <c r="F238" s="71">
        <f>IF(E238="","",IF(Annuitätenrechner!$F$37&gt;=E238,E238+ROUND(E238*Annuitätenrechner!$E$21/Annuitätenrechner!$O$27,2),Annuitätenrechner!$F$37))</f>
        <v>583.33</v>
      </c>
      <c r="G238" s="71">
        <f>IF(E238="","",+ROUND(E238*Annuitätenrechner!$E$21/Annuitätenrechner!$O$27,2))</f>
        <v>206.82</v>
      </c>
      <c r="H238" s="71">
        <f>IF(E238="","",IF(Annuitätenrechner!$F$37-G238&lt;=E238,Annuitätenrechner!$F$37-G238,E238))</f>
        <v>376.51000000000005</v>
      </c>
      <c r="I238" s="91">
        <f t="shared" si="33"/>
        <v>49260.269999999975</v>
      </c>
      <c r="J238" s="41"/>
      <c r="N238" s="56">
        <f ca="1" t="shared" si="34"/>
        <v>1</v>
      </c>
      <c r="O238" s="57">
        <f t="shared" si="35"/>
        <v>2</v>
      </c>
      <c r="P238" s="58">
        <f ca="1" t="shared" si="36"/>
        <v>2035</v>
      </c>
      <c r="R238" s="56">
        <f t="shared" si="37"/>
        <v>2</v>
      </c>
      <c r="S238" s="57" t="str">
        <f t="shared" si="38"/>
        <v/>
      </c>
      <c r="T238" s="58" t="str">
        <f t="shared" si="39"/>
        <v/>
      </c>
    </row>
    <row r="239" spans="2:20" s="7" customFormat="1" ht="12.75">
      <c r="B239" s="42"/>
      <c r="C239" s="89">
        <f t="shared" si="31"/>
        <v>198</v>
      </c>
      <c r="D239" s="90">
        <f ca="1" t="shared" si="30"/>
        <v>49369</v>
      </c>
      <c r="E239" s="71">
        <f t="shared" si="32"/>
        <v>49260.269999999975</v>
      </c>
      <c r="F239" s="71">
        <f>IF(E239="","",IF(Annuitätenrechner!$F$37&gt;=E239,E239+ROUND(E239*Annuitätenrechner!$E$21/Annuitätenrechner!$O$27,2),Annuitätenrechner!$F$37))</f>
        <v>583.33</v>
      </c>
      <c r="G239" s="71">
        <f>IF(E239="","",+ROUND(E239*Annuitätenrechner!$E$21/Annuitätenrechner!$O$27,2))</f>
        <v>205.25</v>
      </c>
      <c r="H239" s="71">
        <f>IF(E239="","",IF(Annuitätenrechner!$F$37-G239&lt;=E239,Annuitätenrechner!$F$37-G239,E239))</f>
        <v>378.08000000000004</v>
      </c>
      <c r="I239" s="91">
        <f t="shared" si="33"/>
        <v>48882.18999999997</v>
      </c>
      <c r="J239" s="41"/>
      <c r="N239" s="56">
        <f ca="1" t="shared" si="34"/>
        <v>1</v>
      </c>
      <c r="O239" s="57">
        <f t="shared" si="35"/>
        <v>3</v>
      </c>
      <c r="P239" s="58">
        <f ca="1" t="shared" si="36"/>
        <v>2035</v>
      </c>
      <c r="R239" s="56">
        <f t="shared" si="37"/>
        <v>3</v>
      </c>
      <c r="S239" s="57" t="str">
        <f t="shared" si="38"/>
        <v/>
      </c>
      <c r="T239" s="58" t="str">
        <f t="shared" si="39"/>
        <v/>
      </c>
    </row>
    <row r="240" spans="2:20" s="7" customFormat="1" ht="12.75">
      <c r="B240" s="42"/>
      <c r="C240" s="89">
        <f t="shared" si="31"/>
        <v>199</v>
      </c>
      <c r="D240" s="90">
        <f ca="1" t="shared" si="30"/>
        <v>49400</v>
      </c>
      <c r="E240" s="71">
        <f t="shared" si="32"/>
        <v>48882.18999999997</v>
      </c>
      <c r="F240" s="71">
        <f>IF(E240="","",IF(Annuitätenrechner!$F$37&gt;=E240,E240+ROUND(E240*Annuitätenrechner!$E$21/Annuitätenrechner!$O$27,2),Annuitätenrechner!$F$37))</f>
        <v>583.33</v>
      </c>
      <c r="G240" s="71">
        <f>IF(E240="","",+ROUND(E240*Annuitätenrechner!$E$21/Annuitätenrechner!$O$27,2))</f>
        <v>203.68</v>
      </c>
      <c r="H240" s="71">
        <f>IF(E240="","",IF(Annuitätenrechner!$F$37-G240&lt;=E240,Annuitätenrechner!$F$37-G240,E240))</f>
        <v>379.65000000000003</v>
      </c>
      <c r="I240" s="91">
        <f t="shared" si="33"/>
        <v>48502.53999999997</v>
      </c>
      <c r="J240" s="41"/>
      <c r="N240" s="56">
        <f ca="1" t="shared" si="34"/>
        <v>1</v>
      </c>
      <c r="O240" s="57">
        <f t="shared" si="35"/>
        <v>4</v>
      </c>
      <c r="P240" s="58">
        <f ca="1" t="shared" si="36"/>
        <v>2035</v>
      </c>
      <c r="R240" s="56">
        <f t="shared" si="37"/>
        <v>4</v>
      </c>
      <c r="S240" s="57" t="str">
        <f t="shared" si="38"/>
        <v/>
      </c>
      <c r="T240" s="58" t="str">
        <f t="shared" si="39"/>
        <v/>
      </c>
    </row>
    <row r="241" spans="2:20" s="7" customFormat="1" ht="12.75">
      <c r="B241" s="42"/>
      <c r="C241" s="89">
        <f t="shared" si="31"/>
        <v>200</v>
      </c>
      <c r="D241" s="90">
        <f ca="1" t="shared" si="30"/>
        <v>49430</v>
      </c>
      <c r="E241" s="71">
        <f t="shared" si="32"/>
        <v>48502.53999999997</v>
      </c>
      <c r="F241" s="71">
        <f>IF(E241="","",IF(Annuitätenrechner!$F$37&gt;=E241,E241+ROUND(E241*Annuitätenrechner!$E$21/Annuitätenrechner!$O$27,2),Annuitätenrechner!$F$37))</f>
        <v>583.33</v>
      </c>
      <c r="G241" s="71">
        <f>IF(E241="","",+ROUND(E241*Annuitätenrechner!$E$21/Annuitätenrechner!$O$27,2))</f>
        <v>202.09</v>
      </c>
      <c r="H241" s="71">
        <f>IF(E241="","",IF(Annuitätenrechner!$F$37-G241&lt;=E241,Annuitätenrechner!$F$37-G241,E241))</f>
        <v>381.24</v>
      </c>
      <c r="I241" s="91">
        <f t="shared" si="33"/>
        <v>48121.299999999974</v>
      </c>
      <c r="J241" s="41"/>
      <c r="N241" s="56">
        <f ca="1" t="shared" si="34"/>
        <v>1</v>
      </c>
      <c r="O241" s="57">
        <f t="shared" si="35"/>
        <v>5</v>
      </c>
      <c r="P241" s="58">
        <f ca="1" t="shared" si="36"/>
        <v>2035</v>
      </c>
      <c r="R241" s="56">
        <f t="shared" si="37"/>
        <v>5</v>
      </c>
      <c r="S241" s="57" t="str">
        <f t="shared" si="38"/>
        <v/>
      </c>
      <c r="T241" s="58" t="str">
        <f t="shared" si="39"/>
        <v/>
      </c>
    </row>
    <row r="242" spans="2:20" s="7" customFormat="1" ht="12.75">
      <c r="B242" s="42"/>
      <c r="C242" s="89">
        <f t="shared" si="31"/>
        <v>201</v>
      </c>
      <c r="D242" s="90">
        <f ca="1" t="shared" si="30"/>
        <v>49461</v>
      </c>
      <c r="E242" s="71">
        <f t="shared" si="32"/>
        <v>48121.299999999974</v>
      </c>
      <c r="F242" s="71">
        <f>IF(E242="","",IF(Annuitätenrechner!$F$37&gt;=E242,E242+ROUND(E242*Annuitätenrechner!$E$21/Annuitätenrechner!$O$27,2),Annuitätenrechner!$F$37))</f>
        <v>583.33</v>
      </c>
      <c r="G242" s="71">
        <f>IF(E242="","",+ROUND(E242*Annuitätenrechner!$E$21/Annuitätenrechner!$O$27,2))</f>
        <v>200.51</v>
      </c>
      <c r="H242" s="71">
        <f>IF(E242="","",IF(Annuitätenrechner!$F$37-G242&lt;=E242,Annuitätenrechner!$F$37-G242,E242))</f>
        <v>382.82000000000005</v>
      </c>
      <c r="I242" s="91">
        <f t="shared" si="33"/>
        <v>47738.479999999974</v>
      </c>
      <c r="J242" s="41"/>
      <c r="N242" s="56">
        <f ca="1" t="shared" si="34"/>
        <v>1</v>
      </c>
      <c r="O242" s="57">
        <f t="shared" si="35"/>
        <v>6</v>
      </c>
      <c r="P242" s="58">
        <f ca="1" t="shared" si="36"/>
        <v>2035</v>
      </c>
      <c r="R242" s="56">
        <f t="shared" si="37"/>
        <v>6</v>
      </c>
      <c r="S242" s="57" t="str">
        <f t="shared" si="38"/>
        <v/>
      </c>
      <c r="T242" s="58" t="str">
        <f t="shared" si="39"/>
        <v/>
      </c>
    </row>
    <row r="243" spans="2:20" s="7" customFormat="1" ht="12.75">
      <c r="B243" s="42"/>
      <c r="C243" s="89">
        <f t="shared" si="31"/>
        <v>202</v>
      </c>
      <c r="D243" s="90">
        <f ca="1" t="shared" si="30"/>
        <v>49491</v>
      </c>
      <c r="E243" s="71">
        <f t="shared" si="32"/>
        <v>47738.479999999974</v>
      </c>
      <c r="F243" s="71">
        <f>IF(E243="","",IF(Annuitätenrechner!$F$37&gt;=E243,E243+ROUND(E243*Annuitätenrechner!$E$21/Annuitätenrechner!$O$27,2),Annuitätenrechner!$F$37))</f>
        <v>583.33</v>
      </c>
      <c r="G243" s="71">
        <f>IF(E243="","",+ROUND(E243*Annuitätenrechner!$E$21/Annuitätenrechner!$O$27,2))</f>
        <v>198.91</v>
      </c>
      <c r="H243" s="71">
        <f>IF(E243="","",IF(Annuitätenrechner!$F$37-G243&lt;=E243,Annuitätenrechner!$F$37-G243,E243))</f>
        <v>384.4200000000001</v>
      </c>
      <c r="I243" s="91">
        <f t="shared" si="33"/>
        <v>47354.059999999976</v>
      </c>
      <c r="J243" s="41"/>
      <c r="N243" s="56">
        <f ca="1" t="shared" si="34"/>
        <v>1</v>
      </c>
      <c r="O243" s="57">
        <f t="shared" si="35"/>
        <v>7</v>
      </c>
      <c r="P243" s="58">
        <f ca="1" t="shared" si="36"/>
        <v>2035</v>
      </c>
      <c r="R243" s="56">
        <f t="shared" si="37"/>
        <v>7</v>
      </c>
      <c r="S243" s="57" t="str">
        <f t="shared" si="38"/>
        <v/>
      </c>
      <c r="T243" s="58" t="str">
        <f t="shared" si="39"/>
        <v/>
      </c>
    </row>
    <row r="244" spans="2:20" s="7" customFormat="1" ht="12.75">
      <c r="B244" s="42"/>
      <c r="C244" s="89">
        <f t="shared" si="31"/>
        <v>203</v>
      </c>
      <c r="D244" s="90">
        <f ca="1" t="shared" si="30"/>
        <v>49522</v>
      </c>
      <c r="E244" s="71">
        <f t="shared" si="32"/>
        <v>47354.059999999976</v>
      </c>
      <c r="F244" s="71">
        <f>IF(E244="","",IF(Annuitätenrechner!$F$37&gt;=E244,E244+ROUND(E244*Annuitätenrechner!$E$21/Annuitätenrechner!$O$27,2),Annuitätenrechner!$F$37))</f>
        <v>583.33</v>
      </c>
      <c r="G244" s="71">
        <f>IF(E244="","",+ROUND(E244*Annuitätenrechner!$E$21/Annuitätenrechner!$O$27,2))</f>
        <v>197.31</v>
      </c>
      <c r="H244" s="71">
        <f>IF(E244="","",IF(Annuitätenrechner!$F$37-G244&lt;=E244,Annuitätenrechner!$F$37-G244,E244))</f>
        <v>386.02000000000004</v>
      </c>
      <c r="I244" s="91">
        <f t="shared" si="33"/>
        <v>46968.03999999998</v>
      </c>
      <c r="J244" s="41"/>
      <c r="N244" s="56">
        <f ca="1" t="shared" si="34"/>
        <v>1</v>
      </c>
      <c r="O244" s="57">
        <f t="shared" si="35"/>
        <v>8</v>
      </c>
      <c r="P244" s="58">
        <f ca="1" t="shared" si="36"/>
        <v>2035</v>
      </c>
      <c r="R244" s="56">
        <f t="shared" si="37"/>
        <v>8</v>
      </c>
      <c r="S244" s="57" t="str">
        <f t="shared" si="38"/>
        <v/>
      </c>
      <c r="T244" s="58" t="str">
        <f t="shared" si="39"/>
        <v/>
      </c>
    </row>
    <row r="245" spans="2:20" s="7" customFormat="1" ht="12.75">
      <c r="B245" s="42"/>
      <c r="C245" s="89">
        <f t="shared" si="31"/>
        <v>204</v>
      </c>
      <c r="D245" s="90">
        <f ca="1" t="shared" si="30"/>
        <v>49553</v>
      </c>
      <c r="E245" s="71">
        <f t="shared" si="32"/>
        <v>46968.03999999998</v>
      </c>
      <c r="F245" s="71">
        <f>IF(E245="","",IF(Annuitätenrechner!$F$37&gt;=E245,E245+ROUND(E245*Annuitätenrechner!$E$21/Annuitätenrechner!$O$27,2),Annuitätenrechner!$F$37))</f>
        <v>583.33</v>
      </c>
      <c r="G245" s="71">
        <f>IF(E245="","",+ROUND(E245*Annuitätenrechner!$E$21/Annuitätenrechner!$O$27,2))</f>
        <v>195.7</v>
      </c>
      <c r="H245" s="71">
        <f>IF(E245="","",IF(Annuitätenrechner!$F$37-G245&lt;=E245,Annuitätenrechner!$F$37-G245,E245))</f>
        <v>387.63000000000005</v>
      </c>
      <c r="I245" s="91">
        <f t="shared" si="33"/>
        <v>46580.40999999998</v>
      </c>
      <c r="J245" s="41"/>
      <c r="N245" s="56">
        <f ca="1" t="shared" si="34"/>
        <v>1</v>
      </c>
      <c r="O245" s="57">
        <f t="shared" si="35"/>
        <v>9</v>
      </c>
      <c r="P245" s="58">
        <f ca="1" t="shared" si="36"/>
        <v>2035</v>
      </c>
      <c r="R245" s="56">
        <f t="shared" si="37"/>
        <v>9</v>
      </c>
      <c r="S245" s="57" t="str">
        <f t="shared" si="38"/>
        <v/>
      </c>
      <c r="T245" s="58" t="str">
        <f t="shared" si="39"/>
        <v/>
      </c>
    </row>
    <row r="246" spans="2:20" s="7" customFormat="1" ht="12.75">
      <c r="B246" s="42"/>
      <c r="C246" s="89">
        <f t="shared" si="31"/>
        <v>205</v>
      </c>
      <c r="D246" s="90">
        <f ca="1" t="shared" si="30"/>
        <v>49583</v>
      </c>
      <c r="E246" s="71">
        <f t="shared" si="32"/>
        <v>46580.40999999998</v>
      </c>
      <c r="F246" s="71">
        <f>IF(E246="","",IF(Annuitätenrechner!$F$37&gt;=E246,E246+ROUND(E246*Annuitätenrechner!$E$21/Annuitätenrechner!$O$27,2),Annuitätenrechner!$F$37))</f>
        <v>583.33</v>
      </c>
      <c r="G246" s="71">
        <f>IF(E246="","",+ROUND(E246*Annuitätenrechner!$E$21/Annuitätenrechner!$O$27,2))</f>
        <v>194.09</v>
      </c>
      <c r="H246" s="71">
        <f>IF(E246="","",IF(Annuitätenrechner!$F$37-G246&lt;=E246,Annuitätenrechner!$F$37-G246,E246))</f>
        <v>389.24</v>
      </c>
      <c r="I246" s="91">
        <f t="shared" si="33"/>
        <v>46191.169999999984</v>
      </c>
      <c r="J246" s="41"/>
      <c r="N246" s="56">
        <f ca="1" t="shared" si="34"/>
        <v>1</v>
      </c>
      <c r="O246" s="57">
        <f t="shared" si="35"/>
        <v>10</v>
      </c>
      <c r="P246" s="58">
        <f ca="1" t="shared" si="36"/>
        <v>2035</v>
      </c>
      <c r="R246" s="56">
        <f t="shared" si="37"/>
        <v>10</v>
      </c>
      <c r="S246" s="57" t="str">
        <f t="shared" si="38"/>
        <v/>
      </c>
      <c r="T246" s="58" t="str">
        <f t="shared" si="39"/>
        <v/>
      </c>
    </row>
    <row r="247" spans="2:20" s="7" customFormat="1" ht="12.75">
      <c r="B247" s="42"/>
      <c r="C247" s="89">
        <f t="shared" si="31"/>
        <v>206</v>
      </c>
      <c r="D247" s="90">
        <f ca="1" t="shared" si="30"/>
        <v>49614</v>
      </c>
      <c r="E247" s="71">
        <f t="shared" si="32"/>
        <v>46191.169999999984</v>
      </c>
      <c r="F247" s="71">
        <f>IF(E247="","",IF(Annuitätenrechner!$F$37&gt;=E247,E247+ROUND(E247*Annuitätenrechner!$E$21/Annuitätenrechner!$O$27,2),Annuitätenrechner!$F$37))</f>
        <v>583.33</v>
      </c>
      <c r="G247" s="71">
        <f>IF(E247="","",+ROUND(E247*Annuitätenrechner!$E$21/Annuitätenrechner!$O$27,2))</f>
        <v>192.46</v>
      </c>
      <c r="H247" s="71">
        <f>IF(E247="","",IF(Annuitätenrechner!$F$37-G247&lt;=E247,Annuitätenrechner!$F$37-G247,E247))</f>
        <v>390.87</v>
      </c>
      <c r="I247" s="91">
        <f t="shared" si="33"/>
        <v>45800.29999999998</v>
      </c>
      <c r="J247" s="41"/>
      <c r="N247" s="56">
        <f ca="1" t="shared" si="34"/>
        <v>1</v>
      </c>
      <c r="O247" s="57">
        <f t="shared" si="35"/>
        <v>11</v>
      </c>
      <c r="P247" s="58">
        <f ca="1" t="shared" si="36"/>
        <v>2035</v>
      </c>
      <c r="R247" s="56">
        <f t="shared" si="37"/>
        <v>11</v>
      </c>
      <c r="S247" s="57" t="str">
        <f t="shared" si="38"/>
        <v/>
      </c>
      <c r="T247" s="58" t="str">
        <f t="shared" si="39"/>
        <v/>
      </c>
    </row>
    <row r="248" spans="2:20" s="7" customFormat="1" ht="12.75">
      <c r="B248" s="42"/>
      <c r="C248" s="89">
        <f t="shared" si="31"/>
        <v>207</v>
      </c>
      <c r="D248" s="90">
        <f ca="1" t="shared" si="30"/>
        <v>49644</v>
      </c>
      <c r="E248" s="71">
        <f t="shared" si="32"/>
        <v>45800.29999999998</v>
      </c>
      <c r="F248" s="71">
        <f>IF(E248="","",IF(Annuitätenrechner!$F$37&gt;=E248,E248+ROUND(E248*Annuitätenrechner!$E$21/Annuitätenrechner!$O$27,2),Annuitätenrechner!$F$37))</f>
        <v>583.33</v>
      </c>
      <c r="G248" s="71">
        <f>IF(E248="","",+ROUND(E248*Annuitätenrechner!$E$21/Annuitätenrechner!$O$27,2))</f>
        <v>190.83</v>
      </c>
      <c r="H248" s="71">
        <f>IF(E248="","",IF(Annuitätenrechner!$F$37-G248&lt;=E248,Annuitätenrechner!$F$37-G248,E248))</f>
        <v>392.5</v>
      </c>
      <c r="I248" s="91">
        <f t="shared" si="33"/>
        <v>45407.79999999998</v>
      </c>
      <c r="J248" s="41"/>
      <c r="N248" s="56">
        <f ca="1" t="shared" si="34"/>
        <v>1</v>
      </c>
      <c r="O248" s="57">
        <f t="shared" si="35"/>
        <v>12</v>
      </c>
      <c r="P248" s="58">
        <f ca="1" t="shared" si="36"/>
        <v>2035</v>
      </c>
      <c r="R248" s="56">
        <f t="shared" si="37"/>
        <v>12</v>
      </c>
      <c r="S248" s="57" t="str">
        <f t="shared" si="38"/>
        <v/>
      </c>
      <c r="T248" s="58" t="str">
        <f t="shared" si="39"/>
        <v/>
      </c>
    </row>
    <row r="249" spans="2:20" s="7" customFormat="1" ht="12.75">
      <c r="B249" s="42"/>
      <c r="C249" s="89">
        <f t="shared" si="31"/>
        <v>208</v>
      </c>
      <c r="D249" s="90">
        <f ca="1" t="shared" si="30"/>
        <v>49675</v>
      </c>
      <c r="E249" s="71">
        <f t="shared" si="32"/>
        <v>45407.79999999998</v>
      </c>
      <c r="F249" s="71">
        <f>IF(E249="","",IF(Annuitätenrechner!$F$37&gt;=E249,E249+ROUND(E249*Annuitätenrechner!$E$21/Annuitätenrechner!$O$27,2),Annuitätenrechner!$F$37))</f>
        <v>583.33</v>
      </c>
      <c r="G249" s="71">
        <f>IF(E249="","",+ROUND(E249*Annuitätenrechner!$E$21/Annuitätenrechner!$O$27,2))</f>
        <v>189.2</v>
      </c>
      <c r="H249" s="71">
        <f>IF(E249="","",IF(Annuitätenrechner!$F$37-G249&lt;=E249,Annuitätenrechner!$F$37-G249,E249))</f>
        <v>394.13000000000005</v>
      </c>
      <c r="I249" s="91">
        <f t="shared" si="33"/>
        <v>45013.669999999984</v>
      </c>
      <c r="J249" s="41"/>
      <c r="N249" s="56">
        <f ca="1" t="shared" si="34"/>
        <v>1</v>
      </c>
      <c r="O249" s="57">
        <f t="shared" si="35"/>
        <v>1</v>
      </c>
      <c r="P249" s="58">
        <f ca="1" t="shared" si="36"/>
        <v>2036</v>
      </c>
      <c r="R249" s="56">
        <f t="shared" si="37"/>
        <v>1</v>
      </c>
      <c r="S249" s="57" t="str">
        <f t="shared" si="38"/>
        <v/>
      </c>
      <c r="T249" s="58" t="str">
        <f t="shared" si="39"/>
        <v/>
      </c>
    </row>
    <row r="250" spans="2:20" s="7" customFormat="1" ht="12.75">
      <c r="B250" s="42"/>
      <c r="C250" s="89">
        <f t="shared" si="31"/>
        <v>209</v>
      </c>
      <c r="D250" s="90">
        <f ca="1" t="shared" si="30"/>
        <v>49706</v>
      </c>
      <c r="E250" s="71">
        <f t="shared" si="32"/>
        <v>45013.669999999984</v>
      </c>
      <c r="F250" s="71">
        <f>IF(E250="","",IF(Annuitätenrechner!$F$37&gt;=E250,E250+ROUND(E250*Annuitätenrechner!$E$21/Annuitätenrechner!$O$27,2),Annuitätenrechner!$F$37))</f>
        <v>583.33</v>
      </c>
      <c r="G250" s="71">
        <f>IF(E250="","",+ROUND(E250*Annuitätenrechner!$E$21/Annuitätenrechner!$O$27,2))</f>
        <v>187.56</v>
      </c>
      <c r="H250" s="71">
        <f>IF(E250="","",IF(Annuitätenrechner!$F$37-G250&lt;=E250,Annuitätenrechner!$F$37-G250,E250))</f>
        <v>395.77000000000004</v>
      </c>
      <c r="I250" s="91">
        <f t="shared" si="33"/>
        <v>44617.89999999999</v>
      </c>
      <c r="J250" s="41"/>
      <c r="N250" s="56">
        <f ca="1" t="shared" si="34"/>
        <v>1</v>
      </c>
      <c r="O250" s="57">
        <f t="shared" si="35"/>
        <v>2</v>
      </c>
      <c r="P250" s="58">
        <f ca="1" t="shared" si="36"/>
        <v>2036</v>
      </c>
      <c r="R250" s="56">
        <f t="shared" si="37"/>
        <v>2</v>
      </c>
      <c r="S250" s="57" t="str">
        <f t="shared" si="38"/>
        <v/>
      </c>
      <c r="T250" s="58" t="str">
        <f t="shared" si="39"/>
        <v/>
      </c>
    </row>
    <row r="251" spans="2:20" s="7" customFormat="1" ht="12.75">
      <c r="B251" s="42"/>
      <c r="C251" s="89">
        <f t="shared" si="31"/>
        <v>210</v>
      </c>
      <c r="D251" s="90">
        <f ca="1" t="shared" si="30"/>
        <v>49735</v>
      </c>
      <c r="E251" s="71">
        <f t="shared" si="32"/>
        <v>44617.89999999999</v>
      </c>
      <c r="F251" s="71">
        <f>IF(E251="","",IF(Annuitätenrechner!$F$37&gt;=E251,E251+ROUND(E251*Annuitätenrechner!$E$21/Annuitätenrechner!$O$27,2),Annuitätenrechner!$F$37))</f>
        <v>583.33</v>
      </c>
      <c r="G251" s="71">
        <f>IF(E251="","",+ROUND(E251*Annuitätenrechner!$E$21/Annuitätenrechner!$O$27,2))</f>
        <v>185.91</v>
      </c>
      <c r="H251" s="71">
        <f>IF(E251="","",IF(Annuitätenrechner!$F$37-G251&lt;=E251,Annuitätenrechner!$F$37-G251,E251))</f>
        <v>397.4200000000001</v>
      </c>
      <c r="I251" s="91">
        <f t="shared" si="33"/>
        <v>44220.47999999999</v>
      </c>
      <c r="J251" s="41"/>
      <c r="N251" s="56">
        <f ca="1" t="shared" si="34"/>
        <v>1</v>
      </c>
      <c r="O251" s="57">
        <f t="shared" si="35"/>
        <v>3</v>
      </c>
      <c r="P251" s="58">
        <f ca="1" t="shared" si="36"/>
        <v>2036</v>
      </c>
      <c r="R251" s="56">
        <f t="shared" si="37"/>
        <v>3</v>
      </c>
      <c r="S251" s="57" t="str">
        <f t="shared" si="38"/>
        <v/>
      </c>
      <c r="T251" s="58" t="str">
        <f t="shared" si="39"/>
        <v/>
      </c>
    </row>
    <row r="252" spans="2:20" s="7" customFormat="1" ht="12.75">
      <c r="B252" s="42"/>
      <c r="C252" s="89">
        <f t="shared" si="31"/>
        <v>211</v>
      </c>
      <c r="D252" s="90">
        <f ca="1" t="shared" si="30"/>
        <v>49766</v>
      </c>
      <c r="E252" s="71">
        <f t="shared" si="32"/>
        <v>44220.47999999999</v>
      </c>
      <c r="F252" s="71">
        <f>IF(E252="","",IF(Annuitätenrechner!$F$37&gt;=E252,E252+ROUND(E252*Annuitätenrechner!$E$21/Annuitätenrechner!$O$27,2),Annuitätenrechner!$F$37))</f>
        <v>583.33</v>
      </c>
      <c r="G252" s="71">
        <f>IF(E252="","",+ROUND(E252*Annuitätenrechner!$E$21/Annuitätenrechner!$O$27,2))</f>
        <v>184.25</v>
      </c>
      <c r="H252" s="71">
        <f>IF(E252="","",IF(Annuitätenrechner!$F$37-G252&lt;=E252,Annuitätenrechner!$F$37-G252,E252))</f>
        <v>399.08000000000004</v>
      </c>
      <c r="I252" s="91">
        <f t="shared" si="33"/>
        <v>43821.39999999999</v>
      </c>
      <c r="J252" s="41"/>
      <c r="N252" s="56">
        <f ca="1" t="shared" si="34"/>
        <v>1</v>
      </c>
      <c r="O252" s="57">
        <f t="shared" si="35"/>
        <v>4</v>
      </c>
      <c r="P252" s="58">
        <f ca="1" t="shared" si="36"/>
        <v>2036</v>
      </c>
      <c r="R252" s="56">
        <f t="shared" si="37"/>
        <v>4</v>
      </c>
      <c r="S252" s="57" t="str">
        <f t="shared" si="38"/>
        <v/>
      </c>
      <c r="T252" s="58" t="str">
        <f t="shared" si="39"/>
        <v/>
      </c>
    </row>
    <row r="253" spans="2:20" s="7" customFormat="1" ht="12.75">
      <c r="B253" s="42"/>
      <c r="C253" s="89">
        <f t="shared" si="31"/>
        <v>212</v>
      </c>
      <c r="D253" s="90">
        <f ca="1" t="shared" si="30"/>
        <v>49796</v>
      </c>
      <c r="E253" s="71">
        <f t="shared" si="32"/>
        <v>43821.39999999999</v>
      </c>
      <c r="F253" s="71">
        <f>IF(E253="","",IF(Annuitätenrechner!$F$37&gt;=E253,E253+ROUND(E253*Annuitätenrechner!$E$21/Annuitätenrechner!$O$27,2),Annuitätenrechner!$F$37))</f>
        <v>583.33</v>
      </c>
      <c r="G253" s="71">
        <f>IF(E253="","",+ROUND(E253*Annuitätenrechner!$E$21/Annuitätenrechner!$O$27,2))</f>
        <v>182.59</v>
      </c>
      <c r="H253" s="71">
        <f>IF(E253="","",IF(Annuitätenrechner!$F$37-G253&lt;=E253,Annuitätenrechner!$F$37-G253,E253))</f>
        <v>400.74</v>
      </c>
      <c r="I253" s="91">
        <f t="shared" si="33"/>
        <v>43420.65999999999</v>
      </c>
      <c r="J253" s="41"/>
      <c r="N253" s="56">
        <f ca="1" t="shared" si="34"/>
        <v>1</v>
      </c>
      <c r="O253" s="57">
        <f t="shared" si="35"/>
        <v>5</v>
      </c>
      <c r="P253" s="58">
        <f ca="1" t="shared" si="36"/>
        <v>2036</v>
      </c>
      <c r="R253" s="56">
        <f t="shared" si="37"/>
        <v>5</v>
      </c>
      <c r="S253" s="57" t="str">
        <f t="shared" si="38"/>
        <v/>
      </c>
      <c r="T253" s="58" t="str">
        <f t="shared" si="39"/>
        <v/>
      </c>
    </row>
    <row r="254" spans="2:20" s="7" customFormat="1" ht="12.75">
      <c r="B254" s="42"/>
      <c r="C254" s="89">
        <f t="shared" si="31"/>
        <v>213</v>
      </c>
      <c r="D254" s="90">
        <f ca="1" t="shared" si="30"/>
        <v>49827</v>
      </c>
      <c r="E254" s="71">
        <f t="shared" si="32"/>
        <v>43420.65999999999</v>
      </c>
      <c r="F254" s="71">
        <f>IF(E254="","",IF(Annuitätenrechner!$F$37&gt;=E254,E254+ROUND(E254*Annuitätenrechner!$E$21/Annuitätenrechner!$O$27,2),Annuitätenrechner!$F$37))</f>
        <v>583.33</v>
      </c>
      <c r="G254" s="71">
        <f>IF(E254="","",+ROUND(E254*Annuitätenrechner!$E$21/Annuitätenrechner!$O$27,2))</f>
        <v>180.92</v>
      </c>
      <c r="H254" s="71">
        <f>IF(E254="","",IF(Annuitätenrechner!$F$37-G254&lt;=E254,Annuitätenrechner!$F$37-G254,E254))</f>
        <v>402.4100000000001</v>
      </c>
      <c r="I254" s="91">
        <f t="shared" si="33"/>
        <v>43018.249999999985</v>
      </c>
      <c r="J254" s="41"/>
      <c r="N254" s="56">
        <f ca="1" t="shared" si="34"/>
        <v>1</v>
      </c>
      <c r="O254" s="57">
        <f t="shared" si="35"/>
        <v>6</v>
      </c>
      <c r="P254" s="58">
        <f ca="1" t="shared" si="36"/>
        <v>2036</v>
      </c>
      <c r="R254" s="56">
        <f t="shared" si="37"/>
        <v>6</v>
      </c>
      <c r="S254" s="57" t="str">
        <f t="shared" si="38"/>
        <v/>
      </c>
      <c r="T254" s="58" t="str">
        <f t="shared" si="39"/>
        <v/>
      </c>
    </row>
    <row r="255" spans="2:20" s="7" customFormat="1" ht="12.75">
      <c r="B255" s="42"/>
      <c r="C255" s="89">
        <f t="shared" si="31"/>
        <v>214</v>
      </c>
      <c r="D255" s="90">
        <f ca="1" t="shared" si="30"/>
        <v>49857</v>
      </c>
      <c r="E255" s="71">
        <f t="shared" si="32"/>
        <v>43018.249999999985</v>
      </c>
      <c r="F255" s="71">
        <f>IF(E255="","",IF(Annuitätenrechner!$F$37&gt;=E255,E255+ROUND(E255*Annuitätenrechner!$E$21/Annuitätenrechner!$O$27,2),Annuitätenrechner!$F$37))</f>
        <v>583.33</v>
      </c>
      <c r="G255" s="71">
        <f>IF(E255="","",+ROUND(E255*Annuitätenrechner!$E$21/Annuitätenrechner!$O$27,2))</f>
        <v>179.24</v>
      </c>
      <c r="H255" s="71">
        <f>IF(E255="","",IF(Annuitätenrechner!$F$37-G255&lt;=E255,Annuitätenrechner!$F$37-G255,E255))</f>
        <v>404.09000000000003</v>
      </c>
      <c r="I255" s="91">
        <f t="shared" si="33"/>
        <v>42614.15999999999</v>
      </c>
      <c r="J255" s="41"/>
      <c r="N255" s="56">
        <f ca="1" t="shared" si="34"/>
        <v>1</v>
      </c>
      <c r="O255" s="57">
        <f t="shared" si="35"/>
        <v>7</v>
      </c>
      <c r="P255" s="58">
        <f ca="1" t="shared" si="36"/>
        <v>2036</v>
      </c>
      <c r="R255" s="56">
        <f t="shared" si="37"/>
        <v>7</v>
      </c>
      <c r="S255" s="57" t="str">
        <f t="shared" si="38"/>
        <v/>
      </c>
      <c r="T255" s="58" t="str">
        <f t="shared" si="39"/>
        <v/>
      </c>
    </row>
    <row r="256" spans="2:20" s="7" customFormat="1" ht="12.75">
      <c r="B256" s="42"/>
      <c r="C256" s="89">
        <f t="shared" si="31"/>
        <v>215</v>
      </c>
      <c r="D256" s="90">
        <f ca="1" t="shared" si="30"/>
        <v>49888</v>
      </c>
      <c r="E256" s="71">
        <f t="shared" si="32"/>
        <v>42614.15999999999</v>
      </c>
      <c r="F256" s="71">
        <f>IF(E256="","",IF(Annuitätenrechner!$F$37&gt;=E256,E256+ROUND(E256*Annuitätenrechner!$E$21/Annuitätenrechner!$O$27,2),Annuitätenrechner!$F$37))</f>
        <v>583.33</v>
      </c>
      <c r="G256" s="71">
        <f>IF(E256="","",+ROUND(E256*Annuitätenrechner!$E$21/Annuitätenrechner!$O$27,2))</f>
        <v>177.56</v>
      </c>
      <c r="H256" s="71">
        <f>IF(E256="","",IF(Annuitätenrechner!$F$37-G256&lt;=E256,Annuitätenrechner!$F$37-G256,E256))</f>
        <v>405.77000000000004</v>
      </c>
      <c r="I256" s="91">
        <f t="shared" si="33"/>
        <v>42208.38999999999</v>
      </c>
      <c r="J256" s="41"/>
      <c r="N256" s="56">
        <f ca="1" t="shared" si="34"/>
        <v>1</v>
      </c>
      <c r="O256" s="57">
        <f t="shared" si="35"/>
        <v>8</v>
      </c>
      <c r="P256" s="58">
        <f ca="1" t="shared" si="36"/>
        <v>2036</v>
      </c>
      <c r="R256" s="56">
        <f t="shared" si="37"/>
        <v>8</v>
      </c>
      <c r="S256" s="57" t="str">
        <f t="shared" si="38"/>
        <v/>
      </c>
      <c r="T256" s="58" t="str">
        <f t="shared" si="39"/>
        <v/>
      </c>
    </row>
    <row r="257" spans="2:20" s="7" customFormat="1" ht="12.75">
      <c r="B257" s="42"/>
      <c r="C257" s="89">
        <f t="shared" si="31"/>
        <v>216</v>
      </c>
      <c r="D257" s="90">
        <f ca="1" t="shared" si="30"/>
        <v>49919</v>
      </c>
      <c r="E257" s="71">
        <f t="shared" si="32"/>
        <v>42208.38999999999</v>
      </c>
      <c r="F257" s="71">
        <f>IF(E257="","",IF(Annuitätenrechner!$F$37&gt;=E257,E257+ROUND(E257*Annuitätenrechner!$E$21/Annuitätenrechner!$O$27,2),Annuitätenrechner!$F$37))</f>
        <v>583.33</v>
      </c>
      <c r="G257" s="71">
        <f>IF(E257="","",+ROUND(E257*Annuitätenrechner!$E$21/Annuitätenrechner!$O$27,2))</f>
        <v>175.87</v>
      </c>
      <c r="H257" s="71">
        <f>IF(E257="","",IF(Annuitätenrechner!$F$37-G257&lt;=E257,Annuitätenrechner!$F$37-G257,E257))</f>
        <v>407.46000000000004</v>
      </c>
      <c r="I257" s="91">
        <f t="shared" si="33"/>
        <v>41800.92999999999</v>
      </c>
      <c r="J257" s="41"/>
      <c r="N257" s="56">
        <f ca="1" t="shared" si="34"/>
        <v>1</v>
      </c>
      <c r="O257" s="57">
        <f t="shared" si="35"/>
        <v>9</v>
      </c>
      <c r="P257" s="58">
        <f ca="1" t="shared" si="36"/>
        <v>2036</v>
      </c>
      <c r="R257" s="56">
        <f t="shared" si="37"/>
        <v>9</v>
      </c>
      <c r="S257" s="57" t="str">
        <f t="shared" si="38"/>
        <v/>
      </c>
      <c r="T257" s="58" t="str">
        <f t="shared" si="39"/>
        <v/>
      </c>
    </row>
    <row r="258" spans="2:20" s="7" customFormat="1" ht="12.75">
      <c r="B258" s="42"/>
      <c r="C258" s="89">
        <f t="shared" si="31"/>
        <v>217</v>
      </c>
      <c r="D258" s="90">
        <f ca="1" t="shared" si="30"/>
        <v>49949</v>
      </c>
      <c r="E258" s="71">
        <f t="shared" si="32"/>
        <v>41800.92999999999</v>
      </c>
      <c r="F258" s="71">
        <f>IF(E258="","",IF(Annuitätenrechner!$F$37&gt;=E258,E258+ROUND(E258*Annuitätenrechner!$E$21/Annuitätenrechner!$O$27,2),Annuitätenrechner!$F$37))</f>
        <v>583.33</v>
      </c>
      <c r="G258" s="71">
        <f>IF(E258="","",+ROUND(E258*Annuitätenrechner!$E$21/Annuitätenrechner!$O$27,2))</f>
        <v>174.17</v>
      </c>
      <c r="H258" s="71">
        <f>IF(E258="","",IF(Annuitätenrechner!$F$37-G258&lt;=E258,Annuitätenrechner!$F$37-G258,E258))</f>
        <v>409.1600000000001</v>
      </c>
      <c r="I258" s="91">
        <f t="shared" si="33"/>
        <v>41391.76999999999</v>
      </c>
      <c r="J258" s="41"/>
      <c r="N258" s="56">
        <f ca="1" t="shared" si="34"/>
        <v>1</v>
      </c>
      <c r="O258" s="57">
        <f t="shared" si="35"/>
        <v>10</v>
      </c>
      <c r="P258" s="58">
        <f ca="1" t="shared" si="36"/>
        <v>2036</v>
      </c>
      <c r="R258" s="56">
        <f t="shared" si="37"/>
        <v>10</v>
      </c>
      <c r="S258" s="57" t="str">
        <f t="shared" si="38"/>
        <v/>
      </c>
      <c r="T258" s="58" t="str">
        <f t="shared" si="39"/>
        <v/>
      </c>
    </row>
    <row r="259" spans="2:20" s="7" customFormat="1" ht="12.75">
      <c r="B259" s="42"/>
      <c r="C259" s="89">
        <f t="shared" si="31"/>
        <v>218</v>
      </c>
      <c r="D259" s="90">
        <f ca="1" t="shared" si="30"/>
        <v>49980</v>
      </c>
      <c r="E259" s="71">
        <f t="shared" si="32"/>
        <v>41391.76999999999</v>
      </c>
      <c r="F259" s="71">
        <f>IF(E259="","",IF(Annuitätenrechner!$F$37&gt;=E259,E259+ROUND(E259*Annuitätenrechner!$E$21/Annuitätenrechner!$O$27,2),Annuitätenrechner!$F$37))</f>
        <v>583.33</v>
      </c>
      <c r="G259" s="71">
        <f>IF(E259="","",+ROUND(E259*Annuitätenrechner!$E$21/Annuitätenrechner!$O$27,2))</f>
        <v>172.47</v>
      </c>
      <c r="H259" s="71">
        <f>IF(E259="","",IF(Annuitätenrechner!$F$37-G259&lt;=E259,Annuitätenrechner!$F$37-G259,E259))</f>
        <v>410.86</v>
      </c>
      <c r="I259" s="91">
        <f t="shared" si="33"/>
        <v>40980.90999999999</v>
      </c>
      <c r="J259" s="41"/>
      <c r="N259" s="56">
        <f ca="1" t="shared" si="34"/>
        <v>1</v>
      </c>
      <c r="O259" s="57">
        <f t="shared" si="35"/>
        <v>11</v>
      </c>
      <c r="P259" s="58">
        <f ca="1" t="shared" si="36"/>
        <v>2036</v>
      </c>
      <c r="R259" s="56">
        <f t="shared" si="37"/>
        <v>11</v>
      </c>
      <c r="S259" s="57" t="str">
        <f t="shared" si="38"/>
        <v/>
      </c>
      <c r="T259" s="58" t="str">
        <f t="shared" si="39"/>
        <v/>
      </c>
    </row>
    <row r="260" spans="2:20" s="7" customFormat="1" ht="12.75">
      <c r="B260" s="42"/>
      <c r="C260" s="89">
        <f t="shared" si="31"/>
        <v>219</v>
      </c>
      <c r="D260" s="90">
        <f ca="1" t="shared" si="30"/>
        <v>50010</v>
      </c>
      <c r="E260" s="71">
        <f t="shared" si="32"/>
        <v>40980.90999999999</v>
      </c>
      <c r="F260" s="71">
        <f>IF(E260="","",IF(Annuitätenrechner!$F$37&gt;=E260,E260+ROUND(E260*Annuitätenrechner!$E$21/Annuitätenrechner!$O$27,2),Annuitätenrechner!$F$37))</f>
        <v>583.33</v>
      </c>
      <c r="G260" s="71">
        <f>IF(E260="","",+ROUND(E260*Annuitätenrechner!$E$21/Annuitätenrechner!$O$27,2))</f>
        <v>170.75</v>
      </c>
      <c r="H260" s="71">
        <f>IF(E260="","",IF(Annuitätenrechner!$F$37-G260&lt;=E260,Annuitätenrechner!$F$37-G260,E260))</f>
        <v>412.58000000000004</v>
      </c>
      <c r="I260" s="91">
        <f t="shared" si="33"/>
        <v>40568.32999999999</v>
      </c>
      <c r="J260" s="41"/>
      <c r="N260" s="56">
        <f ca="1" t="shared" si="34"/>
        <v>1</v>
      </c>
      <c r="O260" s="57">
        <f t="shared" si="35"/>
        <v>12</v>
      </c>
      <c r="P260" s="58">
        <f ca="1" t="shared" si="36"/>
        <v>2036</v>
      </c>
      <c r="R260" s="56">
        <f t="shared" si="37"/>
        <v>12</v>
      </c>
      <c r="S260" s="57" t="str">
        <f t="shared" si="38"/>
        <v/>
      </c>
      <c r="T260" s="58" t="str">
        <f t="shared" si="39"/>
        <v/>
      </c>
    </row>
    <row r="261" spans="2:20" s="7" customFormat="1" ht="12.75">
      <c r="B261" s="42"/>
      <c r="C261" s="89">
        <f t="shared" si="31"/>
        <v>220</v>
      </c>
      <c r="D261" s="90">
        <f ca="1" t="shared" si="30"/>
        <v>50041</v>
      </c>
      <c r="E261" s="71">
        <f t="shared" si="32"/>
        <v>40568.32999999999</v>
      </c>
      <c r="F261" s="71">
        <f>IF(E261="","",IF(Annuitätenrechner!$F$37&gt;=E261,E261+ROUND(E261*Annuitätenrechner!$E$21/Annuitätenrechner!$O$27,2),Annuitätenrechner!$F$37))</f>
        <v>583.33</v>
      </c>
      <c r="G261" s="71">
        <f>IF(E261="","",+ROUND(E261*Annuitätenrechner!$E$21/Annuitätenrechner!$O$27,2))</f>
        <v>169.03</v>
      </c>
      <c r="H261" s="71">
        <f>IF(E261="","",IF(Annuitätenrechner!$F$37-G261&lt;=E261,Annuitätenrechner!$F$37-G261,E261))</f>
        <v>414.30000000000007</v>
      </c>
      <c r="I261" s="91">
        <f t="shared" si="33"/>
        <v>40154.029999999984</v>
      </c>
      <c r="J261" s="41"/>
      <c r="N261" s="56">
        <f ca="1" t="shared" si="34"/>
        <v>1</v>
      </c>
      <c r="O261" s="57">
        <f t="shared" si="35"/>
        <v>1</v>
      </c>
      <c r="P261" s="58">
        <f ca="1" t="shared" si="36"/>
        <v>2037</v>
      </c>
      <c r="R261" s="56">
        <f t="shared" si="37"/>
        <v>1</v>
      </c>
      <c r="S261" s="57" t="str">
        <f t="shared" si="38"/>
        <v/>
      </c>
      <c r="T261" s="58" t="str">
        <f t="shared" si="39"/>
        <v/>
      </c>
    </row>
    <row r="262" spans="2:20" s="7" customFormat="1" ht="12.75">
      <c r="B262" s="42"/>
      <c r="C262" s="89">
        <f t="shared" si="31"/>
        <v>221</v>
      </c>
      <c r="D262" s="90">
        <f ca="1" t="shared" si="30"/>
        <v>50072</v>
      </c>
      <c r="E262" s="71">
        <f t="shared" si="32"/>
        <v>40154.029999999984</v>
      </c>
      <c r="F262" s="71">
        <f>IF(E262="","",IF(Annuitätenrechner!$F$37&gt;=E262,E262+ROUND(E262*Annuitätenrechner!$E$21/Annuitätenrechner!$O$27,2),Annuitätenrechner!$F$37))</f>
        <v>583.33</v>
      </c>
      <c r="G262" s="71">
        <f>IF(E262="","",+ROUND(E262*Annuitätenrechner!$E$21/Annuitätenrechner!$O$27,2))</f>
        <v>167.31</v>
      </c>
      <c r="H262" s="71">
        <f>IF(E262="","",IF(Annuitätenrechner!$F$37-G262&lt;=E262,Annuitätenrechner!$F$37-G262,E262))</f>
        <v>416.02000000000004</v>
      </c>
      <c r="I262" s="91">
        <f t="shared" si="33"/>
        <v>39738.00999999999</v>
      </c>
      <c r="J262" s="41"/>
      <c r="N262" s="56">
        <f ca="1" t="shared" si="34"/>
        <v>1</v>
      </c>
      <c r="O262" s="57">
        <f t="shared" si="35"/>
        <v>2</v>
      </c>
      <c r="P262" s="58">
        <f ca="1" t="shared" si="36"/>
        <v>2037</v>
      </c>
      <c r="R262" s="56">
        <f t="shared" si="37"/>
        <v>2</v>
      </c>
      <c r="S262" s="57" t="str">
        <f t="shared" si="38"/>
        <v/>
      </c>
      <c r="T262" s="58" t="str">
        <f t="shared" si="39"/>
        <v/>
      </c>
    </row>
    <row r="263" spans="2:20" s="7" customFormat="1" ht="12.75">
      <c r="B263" s="42"/>
      <c r="C263" s="89">
        <f t="shared" si="31"/>
        <v>222</v>
      </c>
      <c r="D263" s="90">
        <f ca="1" t="shared" si="30"/>
        <v>50100</v>
      </c>
      <c r="E263" s="71">
        <f t="shared" si="32"/>
        <v>39738.00999999999</v>
      </c>
      <c r="F263" s="71">
        <f>IF(E263="","",IF(Annuitätenrechner!$F$37&gt;=E263,E263+ROUND(E263*Annuitätenrechner!$E$21/Annuitätenrechner!$O$27,2),Annuitätenrechner!$F$37))</f>
        <v>583.33</v>
      </c>
      <c r="G263" s="71">
        <f>IF(E263="","",+ROUND(E263*Annuitätenrechner!$E$21/Annuitätenrechner!$O$27,2))</f>
        <v>165.58</v>
      </c>
      <c r="H263" s="71">
        <f>IF(E263="","",IF(Annuitätenrechner!$F$37-G263&lt;=E263,Annuitätenrechner!$F$37-G263,E263))</f>
        <v>417.75</v>
      </c>
      <c r="I263" s="91">
        <f t="shared" si="33"/>
        <v>39320.25999999999</v>
      </c>
      <c r="J263" s="41"/>
      <c r="N263" s="56">
        <f ca="1" t="shared" si="34"/>
        <v>1</v>
      </c>
      <c r="O263" s="57">
        <f t="shared" si="35"/>
        <v>3</v>
      </c>
      <c r="P263" s="58">
        <f ca="1" t="shared" si="36"/>
        <v>2037</v>
      </c>
      <c r="R263" s="56">
        <f t="shared" si="37"/>
        <v>3</v>
      </c>
      <c r="S263" s="57" t="str">
        <f t="shared" si="38"/>
        <v/>
      </c>
      <c r="T263" s="58" t="str">
        <f t="shared" si="39"/>
        <v/>
      </c>
    </row>
    <row r="264" spans="2:20" s="7" customFormat="1" ht="12.75">
      <c r="B264" s="42"/>
      <c r="C264" s="89">
        <f t="shared" si="31"/>
        <v>223</v>
      </c>
      <c r="D264" s="90">
        <f ca="1" t="shared" si="30"/>
        <v>50131</v>
      </c>
      <c r="E264" s="71">
        <f t="shared" si="32"/>
        <v>39320.25999999999</v>
      </c>
      <c r="F264" s="71">
        <f>IF(E264="","",IF(Annuitätenrechner!$F$37&gt;=E264,E264+ROUND(E264*Annuitätenrechner!$E$21/Annuitätenrechner!$O$27,2),Annuitätenrechner!$F$37))</f>
        <v>583.33</v>
      </c>
      <c r="G264" s="71">
        <f>IF(E264="","",+ROUND(E264*Annuitätenrechner!$E$21/Annuitätenrechner!$O$27,2))</f>
        <v>163.83</v>
      </c>
      <c r="H264" s="71">
        <f>IF(E264="","",IF(Annuitätenrechner!$F$37-G264&lt;=E264,Annuitätenrechner!$F$37-G264,E264))</f>
        <v>419.5</v>
      </c>
      <c r="I264" s="91">
        <f t="shared" si="33"/>
        <v>38900.75999999999</v>
      </c>
      <c r="J264" s="41"/>
      <c r="N264" s="56">
        <f ca="1" t="shared" si="34"/>
        <v>1</v>
      </c>
      <c r="O264" s="57">
        <f t="shared" si="35"/>
        <v>4</v>
      </c>
      <c r="P264" s="58">
        <f ca="1" t="shared" si="36"/>
        <v>2037</v>
      </c>
      <c r="R264" s="56">
        <f t="shared" si="37"/>
        <v>4</v>
      </c>
      <c r="S264" s="57" t="str">
        <f t="shared" si="38"/>
        <v/>
      </c>
      <c r="T264" s="58" t="str">
        <f t="shared" si="39"/>
        <v/>
      </c>
    </row>
    <row r="265" spans="2:20" s="7" customFormat="1" ht="12.75">
      <c r="B265" s="42"/>
      <c r="C265" s="89">
        <f t="shared" si="31"/>
        <v>224</v>
      </c>
      <c r="D265" s="90">
        <f ca="1" t="shared" si="30"/>
        <v>50161</v>
      </c>
      <c r="E265" s="71">
        <f t="shared" si="32"/>
        <v>38900.75999999999</v>
      </c>
      <c r="F265" s="71">
        <f>IF(E265="","",IF(Annuitätenrechner!$F$37&gt;=E265,E265+ROUND(E265*Annuitätenrechner!$E$21/Annuitätenrechner!$O$27,2),Annuitätenrechner!$F$37))</f>
        <v>583.33</v>
      </c>
      <c r="G265" s="71">
        <f>IF(E265="","",+ROUND(E265*Annuitätenrechner!$E$21/Annuitätenrechner!$O$27,2))</f>
        <v>162.09</v>
      </c>
      <c r="H265" s="71">
        <f>IF(E265="","",IF(Annuitätenrechner!$F$37-G265&lt;=E265,Annuitätenrechner!$F$37-G265,E265))</f>
        <v>421.24</v>
      </c>
      <c r="I265" s="91">
        <f t="shared" si="33"/>
        <v>38479.51999999999</v>
      </c>
      <c r="J265" s="41"/>
      <c r="N265" s="56">
        <f ca="1" t="shared" si="34"/>
        <v>1</v>
      </c>
      <c r="O265" s="57">
        <f t="shared" si="35"/>
        <v>5</v>
      </c>
      <c r="P265" s="58">
        <f ca="1" t="shared" si="36"/>
        <v>2037</v>
      </c>
      <c r="R265" s="56">
        <f t="shared" si="37"/>
        <v>5</v>
      </c>
      <c r="S265" s="57" t="str">
        <f t="shared" si="38"/>
        <v/>
      </c>
      <c r="T265" s="58" t="str">
        <f t="shared" si="39"/>
        <v/>
      </c>
    </row>
    <row r="266" spans="2:20" s="7" customFormat="1" ht="12.75">
      <c r="B266" s="42"/>
      <c r="C266" s="89">
        <f t="shared" si="31"/>
        <v>225</v>
      </c>
      <c r="D266" s="90">
        <f ca="1" t="shared" si="30"/>
        <v>50192</v>
      </c>
      <c r="E266" s="71">
        <f t="shared" si="32"/>
        <v>38479.51999999999</v>
      </c>
      <c r="F266" s="71">
        <f>IF(E266="","",IF(Annuitätenrechner!$F$37&gt;=E266,E266+ROUND(E266*Annuitätenrechner!$E$21/Annuitätenrechner!$O$27,2),Annuitätenrechner!$F$37))</f>
        <v>583.33</v>
      </c>
      <c r="G266" s="71">
        <f>IF(E266="","",+ROUND(E266*Annuitätenrechner!$E$21/Annuitätenrechner!$O$27,2))</f>
        <v>160.33</v>
      </c>
      <c r="H266" s="71">
        <f>IF(E266="","",IF(Annuitätenrechner!$F$37-G266&lt;=E266,Annuitätenrechner!$F$37-G266,E266))</f>
        <v>423</v>
      </c>
      <c r="I266" s="91">
        <f t="shared" si="33"/>
        <v>38056.51999999999</v>
      </c>
      <c r="J266" s="41"/>
      <c r="N266" s="56">
        <f ca="1" t="shared" si="34"/>
        <v>1</v>
      </c>
      <c r="O266" s="57">
        <f t="shared" si="35"/>
        <v>6</v>
      </c>
      <c r="P266" s="58">
        <f ca="1" t="shared" si="36"/>
        <v>2037</v>
      </c>
      <c r="R266" s="56">
        <f t="shared" si="37"/>
        <v>6</v>
      </c>
      <c r="S266" s="57" t="str">
        <f t="shared" si="38"/>
        <v/>
      </c>
      <c r="T266" s="58" t="str">
        <f t="shared" si="39"/>
        <v/>
      </c>
    </row>
    <row r="267" spans="2:20" s="7" customFormat="1" ht="12.75">
      <c r="B267" s="42"/>
      <c r="C267" s="89">
        <f t="shared" si="31"/>
        <v>226</v>
      </c>
      <c r="D267" s="90">
        <f ca="1" t="shared" si="30"/>
        <v>50222</v>
      </c>
      <c r="E267" s="71">
        <f t="shared" si="32"/>
        <v>38056.51999999999</v>
      </c>
      <c r="F267" s="71">
        <f>IF(E267="","",IF(Annuitätenrechner!$F$37&gt;=E267,E267+ROUND(E267*Annuitätenrechner!$E$21/Annuitätenrechner!$O$27,2),Annuitätenrechner!$F$37))</f>
        <v>583.33</v>
      </c>
      <c r="G267" s="71">
        <f>IF(E267="","",+ROUND(E267*Annuitätenrechner!$E$21/Annuitätenrechner!$O$27,2))</f>
        <v>158.57</v>
      </c>
      <c r="H267" s="71">
        <f>IF(E267="","",IF(Annuitätenrechner!$F$37-G267&lt;=E267,Annuitätenrechner!$F$37-G267,E267))</f>
        <v>424.76000000000005</v>
      </c>
      <c r="I267" s="91">
        <f t="shared" si="33"/>
        <v>37631.75999999999</v>
      </c>
      <c r="J267" s="41"/>
      <c r="N267" s="56">
        <f ca="1" t="shared" si="34"/>
        <v>1</v>
      </c>
      <c r="O267" s="57">
        <f t="shared" si="35"/>
        <v>7</v>
      </c>
      <c r="P267" s="58">
        <f ca="1" t="shared" si="36"/>
        <v>2037</v>
      </c>
      <c r="R267" s="56">
        <f t="shared" si="37"/>
        <v>7</v>
      </c>
      <c r="S267" s="57" t="str">
        <f t="shared" si="38"/>
        <v/>
      </c>
      <c r="T267" s="58" t="str">
        <f t="shared" si="39"/>
        <v/>
      </c>
    </row>
    <row r="268" spans="2:20" s="7" customFormat="1" ht="12.75">
      <c r="B268" s="42"/>
      <c r="C268" s="89">
        <f t="shared" si="31"/>
        <v>227</v>
      </c>
      <c r="D268" s="90">
        <f ca="1" t="shared" si="30"/>
        <v>50253</v>
      </c>
      <c r="E268" s="71">
        <f t="shared" si="32"/>
        <v>37631.75999999999</v>
      </c>
      <c r="F268" s="71">
        <f>IF(E268="","",IF(Annuitätenrechner!$F$37&gt;=E268,E268+ROUND(E268*Annuitätenrechner!$E$21/Annuitätenrechner!$O$27,2),Annuitätenrechner!$F$37))</f>
        <v>583.33</v>
      </c>
      <c r="G268" s="71">
        <f>IF(E268="","",+ROUND(E268*Annuitätenrechner!$E$21/Annuitätenrechner!$O$27,2))</f>
        <v>156.8</v>
      </c>
      <c r="H268" s="71">
        <f>IF(E268="","",IF(Annuitätenrechner!$F$37-G268&lt;=E268,Annuitätenrechner!$F$37-G268,E268))</f>
        <v>426.53000000000003</v>
      </c>
      <c r="I268" s="91">
        <f t="shared" si="33"/>
        <v>37205.22999999999</v>
      </c>
      <c r="J268" s="41"/>
      <c r="N268" s="56">
        <f ca="1" t="shared" si="34"/>
        <v>1</v>
      </c>
      <c r="O268" s="57">
        <f t="shared" si="35"/>
        <v>8</v>
      </c>
      <c r="P268" s="58">
        <f ca="1" t="shared" si="36"/>
        <v>2037</v>
      </c>
      <c r="R268" s="56">
        <f t="shared" si="37"/>
        <v>8</v>
      </c>
      <c r="S268" s="57" t="str">
        <f t="shared" si="38"/>
        <v/>
      </c>
      <c r="T268" s="58" t="str">
        <f t="shared" si="39"/>
        <v/>
      </c>
    </row>
    <row r="269" spans="2:20" s="7" customFormat="1" ht="12.75">
      <c r="B269" s="42"/>
      <c r="C269" s="89">
        <f t="shared" si="31"/>
        <v>228</v>
      </c>
      <c r="D269" s="90">
        <f ca="1" t="shared" si="30"/>
        <v>50284</v>
      </c>
      <c r="E269" s="71">
        <f t="shared" si="32"/>
        <v>37205.22999999999</v>
      </c>
      <c r="F269" s="71">
        <f>IF(E269="","",IF(Annuitätenrechner!$F$37&gt;=E269,E269+ROUND(E269*Annuitätenrechner!$E$21/Annuitätenrechner!$O$27,2),Annuitätenrechner!$F$37))</f>
        <v>583.33</v>
      </c>
      <c r="G269" s="71">
        <f>IF(E269="","",+ROUND(E269*Annuitätenrechner!$E$21/Annuitätenrechner!$O$27,2))</f>
        <v>155.02</v>
      </c>
      <c r="H269" s="71">
        <f>IF(E269="","",IF(Annuitätenrechner!$F$37-G269&lt;=E269,Annuitätenrechner!$F$37-G269,E269))</f>
        <v>428.31000000000006</v>
      </c>
      <c r="I269" s="91">
        <f t="shared" si="33"/>
        <v>36776.91999999999</v>
      </c>
      <c r="J269" s="41"/>
      <c r="N269" s="56">
        <f ca="1" t="shared" si="34"/>
        <v>1</v>
      </c>
      <c r="O269" s="57">
        <f t="shared" si="35"/>
        <v>9</v>
      </c>
      <c r="P269" s="58">
        <f ca="1" t="shared" si="36"/>
        <v>2037</v>
      </c>
      <c r="R269" s="56">
        <f t="shared" si="37"/>
        <v>9</v>
      </c>
      <c r="S269" s="57" t="str">
        <f t="shared" si="38"/>
        <v/>
      </c>
      <c r="T269" s="58" t="str">
        <f t="shared" si="39"/>
        <v/>
      </c>
    </row>
    <row r="270" spans="2:20" s="7" customFormat="1" ht="12.75">
      <c r="B270" s="42"/>
      <c r="C270" s="89">
        <f t="shared" si="31"/>
        <v>229</v>
      </c>
      <c r="D270" s="90">
        <f ca="1" t="shared" si="30"/>
        <v>50314</v>
      </c>
      <c r="E270" s="71">
        <f t="shared" si="32"/>
        <v>36776.91999999999</v>
      </c>
      <c r="F270" s="71">
        <f>IF(E270="","",IF(Annuitätenrechner!$F$37&gt;=E270,E270+ROUND(E270*Annuitätenrechner!$E$21/Annuitätenrechner!$O$27,2),Annuitätenrechner!$F$37))</f>
        <v>583.33</v>
      </c>
      <c r="G270" s="71">
        <f>IF(E270="","",+ROUND(E270*Annuitätenrechner!$E$21/Annuitätenrechner!$O$27,2))</f>
        <v>153.24</v>
      </c>
      <c r="H270" s="71">
        <f>IF(E270="","",IF(Annuitätenrechner!$F$37-G270&lt;=E270,Annuitätenrechner!$F$37-G270,E270))</f>
        <v>430.09000000000003</v>
      </c>
      <c r="I270" s="91">
        <f t="shared" si="33"/>
        <v>36346.829999999994</v>
      </c>
      <c r="J270" s="41"/>
      <c r="N270" s="56">
        <f ca="1" t="shared" si="34"/>
        <v>1</v>
      </c>
      <c r="O270" s="57">
        <f t="shared" si="35"/>
        <v>10</v>
      </c>
      <c r="P270" s="58">
        <f ca="1" t="shared" si="36"/>
        <v>2037</v>
      </c>
      <c r="R270" s="56">
        <f t="shared" si="37"/>
        <v>10</v>
      </c>
      <c r="S270" s="57" t="str">
        <f t="shared" si="38"/>
        <v/>
      </c>
      <c r="T270" s="58" t="str">
        <f t="shared" si="39"/>
        <v/>
      </c>
    </row>
    <row r="271" spans="2:20" s="7" customFormat="1" ht="12.75">
      <c r="B271" s="42"/>
      <c r="C271" s="89">
        <f t="shared" si="31"/>
        <v>230</v>
      </c>
      <c r="D271" s="90">
        <f ca="1" t="shared" si="30"/>
        <v>50345</v>
      </c>
      <c r="E271" s="71">
        <f t="shared" si="32"/>
        <v>36346.829999999994</v>
      </c>
      <c r="F271" s="71">
        <f>IF(E271="","",IF(Annuitätenrechner!$F$37&gt;=E271,E271+ROUND(E271*Annuitätenrechner!$E$21/Annuitätenrechner!$O$27,2),Annuitätenrechner!$F$37))</f>
        <v>583.33</v>
      </c>
      <c r="G271" s="71">
        <f>IF(E271="","",+ROUND(E271*Annuitätenrechner!$E$21/Annuitätenrechner!$O$27,2))</f>
        <v>151.45</v>
      </c>
      <c r="H271" s="71">
        <f>IF(E271="","",IF(Annuitätenrechner!$F$37-G271&lt;=E271,Annuitätenrechner!$F$37-G271,E271))</f>
        <v>431.88000000000005</v>
      </c>
      <c r="I271" s="91">
        <f t="shared" si="33"/>
        <v>35914.95</v>
      </c>
      <c r="J271" s="41"/>
      <c r="N271" s="56">
        <f ca="1" t="shared" si="34"/>
        <v>1</v>
      </c>
      <c r="O271" s="57">
        <f t="shared" si="35"/>
        <v>11</v>
      </c>
      <c r="P271" s="58">
        <f ca="1" t="shared" si="36"/>
        <v>2037</v>
      </c>
      <c r="R271" s="56">
        <f t="shared" si="37"/>
        <v>11</v>
      </c>
      <c r="S271" s="57" t="str">
        <f t="shared" si="38"/>
        <v/>
      </c>
      <c r="T271" s="58" t="str">
        <f t="shared" si="39"/>
        <v/>
      </c>
    </row>
    <row r="272" spans="2:20" s="7" customFormat="1" ht="12.75">
      <c r="B272" s="42"/>
      <c r="C272" s="89">
        <f t="shared" si="31"/>
        <v>231</v>
      </c>
      <c r="D272" s="90">
        <f ca="1" t="shared" si="30"/>
        <v>50375</v>
      </c>
      <c r="E272" s="71">
        <f t="shared" si="32"/>
        <v>35914.95</v>
      </c>
      <c r="F272" s="71">
        <f>IF(E272="","",IF(Annuitätenrechner!$F$37&gt;=E272,E272+ROUND(E272*Annuitätenrechner!$E$21/Annuitätenrechner!$O$27,2),Annuitätenrechner!$F$37))</f>
        <v>583.33</v>
      </c>
      <c r="G272" s="71">
        <f>IF(E272="","",+ROUND(E272*Annuitätenrechner!$E$21/Annuitätenrechner!$O$27,2))</f>
        <v>149.65</v>
      </c>
      <c r="H272" s="71">
        <f>IF(E272="","",IF(Annuitätenrechner!$F$37-G272&lt;=E272,Annuitätenrechner!$F$37-G272,E272))</f>
        <v>433.68000000000006</v>
      </c>
      <c r="I272" s="91">
        <f t="shared" si="33"/>
        <v>35481.27</v>
      </c>
      <c r="J272" s="41"/>
      <c r="N272" s="56">
        <f ca="1" t="shared" si="34"/>
        <v>1</v>
      </c>
      <c r="O272" s="57">
        <f t="shared" si="35"/>
        <v>12</v>
      </c>
      <c r="P272" s="58">
        <f ca="1" t="shared" si="36"/>
        <v>2037</v>
      </c>
      <c r="R272" s="56">
        <f t="shared" si="37"/>
        <v>12</v>
      </c>
      <c r="S272" s="57" t="str">
        <f t="shared" si="38"/>
        <v/>
      </c>
      <c r="T272" s="58" t="str">
        <f t="shared" si="39"/>
        <v/>
      </c>
    </row>
    <row r="273" spans="2:20" s="7" customFormat="1" ht="12.75">
      <c r="B273" s="42"/>
      <c r="C273" s="89">
        <f t="shared" si="31"/>
        <v>232</v>
      </c>
      <c r="D273" s="90">
        <f ca="1" t="shared" si="30"/>
        <v>50406</v>
      </c>
      <c r="E273" s="71">
        <f t="shared" si="32"/>
        <v>35481.27</v>
      </c>
      <c r="F273" s="71">
        <f>IF(E273="","",IF(Annuitätenrechner!$F$37&gt;=E273,E273+ROUND(E273*Annuitätenrechner!$E$21/Annuitätenrechner!$O$27,2),Annuitätenrechner!$F$37))</f>
        <v>583.33</v>
      </c>
      <c r="G273" s="71">
        <f>IF(E273="","",+ROUND(E273*Annuitätenrechner!$E$21/Annuitätenrechner!$O$27,2))</f>
        <v>147.84</v>
      </c>
      <c r="H273" s="71">
        <f>IF(E273="","",IF(Annuitätenrechner!$F$37-G273&lt;=E273,Annuitätenrechner!$F$37-G273,E273))</f>
        <v>435.49</v>
      </c>
      <c r="I273" s="91">
        <f t="shared" si="33"/>
        <v>35045.78</v>
      </c>
      <c r="J273" s="41"/>
      <c r="N273" s="56">
        <f ca="1" t="shared" si="34"/>
        <v>1</v>
      </c>
      <c r="O273" s="57">
        <f t="shared" si="35"/>
        <v>1</v>
      </c>
      <c r="P273" s="58">
        <f ca="1" t="shared" si="36"/>
        <v>2038</v>
      </c>
      <c r="R273" s="56">
        <f t="shared" si="37"/>
        <v>1</v>
      </c>
      <c r="S273" s="57" t="str">
        <f t="shared" si="38"/>
        <v/>
      </c>
      <c r="T273" s="58" t="str">
        <f t="shared" si="39"/>
        <v/>
      </c>
    </row>
    <row r="274" spans="2:20" s="7" customFormat="1" ht="12.75">
      <c r="B274" s="42"/>
      <c r="C274" s="89">
        <f t="shared" si="31"/>
        <v>233</v>
      </c>
      <c r="D274" s="90">
        <f ca="1" t="shared" si="30"/>
        <v>50437</v>
      </c>
      <c r="E274" s="71">
        <f t="shared" si="32"/>
        <v>35045.78</v>
      </c>
      <c r="F274" s="71">
        <f>IF(E274="","",IF(Annuitätenrechner!$F$37&gt;=E274,E274+ROUND(E274*Annuitätenrechner!$E$21/Annuitätenrechner!$O$27,2),Annuitätenrechner!$F$37))</f>
        <v>583.33</v>
      </c>
      <c r="G274" s="71">
        <f>IF(E274="","",+ROUND(E274*Annuitätenrechner!$E$21/Annuitätenrechner!$O$27,2))</f>
        <v>146.02</v>
      </c>
      <c r="H274" s="71">
        <f>IF(E274="","",IF(Annuitätenrechner!$F$37-G274&lt;=E274,Annuitätenrechner!$F$37-G274,E274))</f>
        <v>437.31000000000006</v>
      </c>
      <c r="I274" s="91">
        <f t="shared" si="33"/>
        <v>34608.47</v>
      </c>
      <c r="J274" s="41"/>
      <c r="N274" s="56">
        <f ca="1" t="shared" si="34"/>
        <v>1</v>
      </c>
      <c r="O274" s="57">
        <f t="shared" si="35"/>
        <v>2</v>
      </c>
      <c r="P274" s="58">
        <f ca="1" t="shared" si="36"/>
        <v>2038</v>
      </c>
      <c r="R274" s="56">
        <f t="shared" si="37"/>
        <v>2</v>
      </c>
      <c r="S274" s="57" t="str">
        <f t="shared" si="38"/>
        <v/>
      </c>
      <c r="T274" s="58" t="str">
        <f t="shared" si="39"/>
        <v/>
      </c>
    </row>
    <row r="275" spans="2:20" s="7" customFormat="1" ht="12.75">
      <c r="B275" s="42"/>
      <c r="C275" s="89">
        <f t="shared" si="31"/>
        <v>234</v>
      </c>
      <c r="D275" s="90">
        <f ca="1" t="shared" si="30"/>
        <v>50465</v>
      </c>
      <c r="E275" s="71">
        <f t="shared" si="32"/>
        <v>34608.47</v>
      </c>
      <c r="F275" s="71">
        <f>IF(E275="","",IF(Annuitätenrechner!$F$37&gt;=E275,E275+ROUND(E275*Annuitätenrechner!$E$21/Annuitätenrechner!$O$27,2),Annuitätenrechner!$F$37))</f>
        <v>583.33</v>
      </c>
      <c r="G275" s="71">
        <f>IF(E275="","",+ROUND(E275*Annuitätenrechner!$E$21/Annuitätenrechner!$O$27,2))</f>
        <v>144.2</v>
      </c>
      <c r="H275" s="71">
        <f>IF(E275="","",IF(Annuitätenrechner!$F$37-G275&lt;=E275,Annuitätenrechner!$F$37-G275,E275))</f>
        <v>439.13000000000005</v>
      </c>
      <c r="I275" s="91">
        <f t="shared" si="33"/>
        <v>34169.340000000004</v>
      </c>
      <c r="J275" s="41"/>
      <c r="N275" s="56">
        <f ca="1" t="shared" si="34"/>
        <v>1</v>
      </c>
      <c r="O275" s="57">
        <f t="shared" si="35"/>
        <v>3</v>
      </c>
      <c r="P275" s="58">
        <f ca="1" t="shared" si="36"/>
        <v>2038</v>
      </c>
      <c r="R275" s="56">
        <f t="shared" si="37"/>
        <v>3</v>
      </c>
      <c r="S275" s="57" t="str">
        <f t="shared" si="38"/>
        <v/>
      </c>
      <c r="T275" s="58" t="str">
        <f t="shared" si="39"/>
        <v/>
      </c>
    </row>
    <row r="276" spans="2:20" s="7" customFormat="1" ht="12.75">
      <c r="B276" s="42"/>
      <c r="C276" s="89">
        <f t="shared" si="31"/>
        <v>235</v>
      </c>
      <c r="D276" s="90">
        <f ca="1" t="shared" si="30"/>
        <v>50496</v>
      </c>
      <c r="E276" s="71">
        <f t="shared" si="32"/>
        <v>34169.340000000004</v>
      </c>
      <c r="F276" s="71">
        <f>IF(E276="","",IF(Annuitätenrechner!$F$37&gt;=E276,E276+ROUND(E276*Annuitätenrechner!$E$21/Annuitätenrechner!$O$27,2),Annuitätenrechner!$F$37))</f>
        <v>583.33</v>
      </c>
      <c r="G276" s="71">
        <f>IF(E276="","",+ROUND(E276*Annuitätenrechner!$E$21/Annuitätenrechner!$O$27,2))</f>
        <v>142.37</v>
      </c>
      <c r="H276" s="71">
        <f>IF(E276="","",IF(Annuitätenrechner!$F$37-G276&lt;=E276,Annuitätenrechner!$F$37-G276,E276))</f>
        <v>440.96000000000004</v>
      </c>
      <c r="I276" s="91">
        <f t="shared" si="33"/>
        <v>33728.380000000005</v>
      </c>
      <c r="J276" s="41"/>
      <c r="N276" s="56">
        <f ca="1" t="shared" si="34"/>
        <v>1</v>
      </c>
      <c r="O276" s="57">
        <f t="shared" si="35"/>
        <v>4</v>
      </c>
      <c r="P276" s="58">
        <f ca="1" t="shared" si="36"/>
        <v>2038</v>
      </c>
      <c r="R276" s="56">
        <f t="shared" si="37"/>
        <v>4</v>
      </c>
      <c r="S276" s="57" t="str">
        <f t="shared" si="38"/>
        <v/>
      </c>
      <c r="T276" s="58" t="str">
        <f t="shared" si="39"/>
        <v/>
      </c>
    </row>
    <row r="277" spans="2:20" s="7" customFormat="1" ht="12.75">
      <c r="B277" s="42"/>
      <c r="C277" s="89">
        <f t="shared" si="31"/>
        <v>236</v>
      </c>
      <c r="D277" s="90">
        <f ca="1" t="shared" si="30"/>
        <v>50526</v>
      </c>
      <c r="E277" s="71">
        <f t="shared" si="32"/>
        <v>33728.380000000005</v>
      </c>
      <c r="F277" s="71">
        <f>IF(E277="","",IF(Annuitätenrechner!$F$37&gt;=E277,E277+ROUND(E277*Annuitätenrechner!$E$21/Annuitätenrechner!$O$27,2),Annuitätenrechner!$F$37))</f>
        <v>583.33</v>
      </c>
      <c r="G277" s="71">
        <f>IF(E277="","",+ROUND(E277*Annuitätenrechner!$E$21/Annuitätenrechner!$O$27,2))</f>
        <v>140.53</v>
      </c>
      <c r="H277" s="71">
        <f>IF(E277="","",IF(Annuitätenrechner!$F$37-G277&lt;=E277,Annuitätenrechner!$F$37-G277,E277))</f>
        <v>442.80000000000007</v>
      </c>
      <c r="I277" s="91">
        <f t="shared" si="33"/>
        <v>33285.58</v>
      </c>
      <c r="J277" s="41"/>
      <c r="N277" s="56">
        <f ca="1" t="shared" si="34"/>
        <v>1</v>
      </c>
      <c r="O277" s="57">
        <f t="shared" si="35"/>
        <v>5</v>
      </c>
      <c r="P277" s="58">
        <f ca="1" t="shared" si="36"/>
        <v>2038</v>
      </c>
      <c r="R277" s="56">
        <f t="shared" si="37"/>
        <v>5</v>
      </c>
      <c r="S277" s="57" t="str">
        <f t="shared" si="38"/>
        <v/>
      </c>
      <c r="T277" s="58" t="str">
        <f t="shared" si="39"/>
        <v/>
      </c>
    </row>
    <row r="278" spans="2:20" s="7" customFormat="1" ht="12.75">
      <c r="B278" s="42"/>
      <c r="C278" s="89">
        <f t="shared" si="31"/>
        <v>237</v>
      </c>
      <c r="D278" s="90">
        <f ca="1" t="shared" si="30"/>
        <v>50557</v>
      </c>
      <c r="E278" s="71">
        <f t="shared" si="32"/>
        <v>33285.58</v>
      </c>
      <c r="F278" s="71">
        <f>IF(E278="","",IF(Annuitätenrechner!$F$37&gt;=E278,E278+ROUND(E278*Annuitätenrechner!$E$21/Annuitätenrechner!$O$27,2),Annuitätenrechner!$F$37))</f>
        <v>583.33</v>
      </c>
      <c r="G278" s="71">
        <f>IF(E278="","",+ROUND(E278*Annuitätenrechner!$E$21/Annuitätenrechner!$O$27,2))</f>
        <v>138.69</v>
      </c>
      <c r="H278" s="71">
        <f>IF(E278="","",IF(Annuitätenrechner!$F$37-G278&lt;=E278,Annuitätenrechner!$F$37-G278,E278))</f>
        <v>444.64000000000004</v>
      </c>
      <c r="I278" s="91">
        <f t="shared" si="33"/>
        <v>32840.94</v>
      </c>
      <c r="J278" s="41"/>
      <c r="N278" s="56">
        <f ca="1" t="shared" si="34"/>
        <v>1</v>
      </c>
      <c r="O278" s="57">
        <f t="shared" si="35"/>
        <v>6</v>
      </c>
      <c r="P278" s="58">
        <f ca="1" t="shared" si="36"/>
        <v>2038</v>
      </c>
      <c r="R278" s="56">
        <f t="shared" si="37"/>
        <v>6</v>
      </c>
      <c r="S278" s="57" t="str">
        <f t="shared" si="38"/>
        <v/>
      </c>
      <c r="T278" s="58" t="str">
        <f t="shared" si="39"/>
        <v/>
      </c>
    </row>
    <row r="279" spans="2:20" s="7" customFormat="1" ht="12.75">
      <c r="B279" s="42"/>
      <c r="C279" s="89">
        <f aca="true" t="shared" si="40" ref="C279:C342">+IF(E279="","",C278+1)</f>
        <v>238</v>
      </c>
      <c r="D279" s="90">
        <f aca="true" t="shared" si="41" ref="D279:D342">IF(OR(I278="",I278=0),"",DATE(P279,O279,N279))</f>
        <v>50587</v>
      </c>
      <c r="E279" s="71">
        <f aca="true" t="shared" si="42" ref="E279:E342">IF(OR(I278=0,I278=""),"",I278)</f>
        <v>32840.94</v>
      </c>
      <c r="F279" s="71">
        <f>IF(E279="","",IF(Annuitätenrechner!$F$37&gt;=E279,E279+ROUND(E279*Annuitätenrechner!$E$21/Annuitätenrechner!$O$27,2),Annuitätenrechner!$F$37))</f>
        <v>583.33</v>
      </c>
      <c r="G279" s="71">
        <f>IF(E279="","",+ROUND(E279*Annuitätenrechner!$E$21/Annuitätenrechner!$O$27,2))</f>
        <v>136.84</v>
      </c>
      <c r="H279" s="71">
        <f>IF(E279="","",IF(Annuitätenrechner!$F$37-G279&lt;=E279,Annuitätenrechner!$F$37-G279,E279))</f>
        <v>446.49</v>
      </c>
      <c r="I279" s="91">
        <f aca="true" t="shared" si="43" ref="I279:I342">IF(OR(I278="",I278=0),"",E279-H279)</f>
        <v>32394.45</v>
      </c>
      <c r="J279" s="41"/>
      <c r="N279" s="56">
        <f aca="true" t="shared" si="44" ref="N279:N342">+N278</f>
        <v>1</v>
      </c>
      <c r="O279" s="57">
        <f aca="true" t="shared" si="45" ref="O279:O342">+IF(R279&lt;&gt;"",R279,IF(S279&lt;&gt;"",S279,T279))</f>
        <v>7</v>
      </c>
      <c r="P279" s="58">
        <f aca="true" t="shared" si="46" ref="P279:P342">+IF(O279&lt;O278,P278+1,P278)</f>
        <v>2038</v>
      </c>
      <c r="R279" s="56">
        <f t="shared" si="37"/>
        <v>7</v>
      </c>
      <c r="S279" s="57" t="str">
        <f aca="true" t="shared" si="47" ref="S279:S342">+IF(AND(S$40=4,$O$40=4),IF($O278&gt;=10,O278+3-12,$O278+3),"")</f>
        <v/>
      </c>
      <c r="T279" s="58" t="str">
        <f aca="true" t="shared" si="48" ref="T279:T342">+IF(AND(T$40=1,$O$40=1),O278,"")</f>
        <v/>
      </c>
    </row>
    <row r="280" spans="2:20" s="7" customFormat="1" ht="12.75">
      <c r="B280" s="42"/>
      <c r="C280" s="89">
        <f t="shared" si="40"/>
        <v>239</v>
      </c>
      <c r="D280" s="90">
        <f ca="1" t="shared" si="41"/>
        <v>50618</v>
      </c>
      <c r="E280" s="71">
        <f t="shared" si="42"/>
        <v>32394.45</v>
      </c>
      <c r="F280" s="71">
        <f>IF(E280="","",IF(Annuitätenrechner!$F$37&gt;=E280,E280+ROUND(E280*Annuitätenrechner!$E$21/Annuitätenrechner!$O$27,2),Annuitätenrechner!$F$37))</f>
        <v>583.33</v>
      </c>
      <c r="G280" s="71">
        <f>IF(E280="","",+ROUND(E280*Annuitätenrechner!$E$21/Annuitätenrechner!$O$27,2))</f>
        <v>134.98</v>
      </c>
      <c r="H280" s="71">
        <f>IF(E280="","",IF(Annuitätenrechner!$F$37-G280&lt;=E280,Annuitätenrechner!$F$37-G280,E280))</f>
        <v>448.35</v>
      </c>
      <c r="I280" s="91">
        <f t="shared" si="43"/>
        <v>31946.100000000002</v>
      </c>
      <c r="J280" s="41"/>
      <c r="N280" s="56">
        <f ca="1" t="shared" si="44"/>
        <v>1</v>
      </c>
      <c r="O280" s="57">
        <f t="shared" si="45"/>
        <v>8</v>
      </c>
      <c r="P280" s="58">
        <f ca="1" t="shared" si="46"/>
        <v>2038</v>
      </c>
      <c r="R280" s="56">
        <f t="shared" si="37"/>
        <v>8</v>
      </c>
      <c r="S280" s="57" t="str">
        <f t="shared" si="47"/>
        <v/>
      </c>
      <c r="T280" s="58" t="str">
        <f t="shared" si="48"/>
        <v/>
      </c>
    </row>
    <row r="281" spans="2:20" s="7" customFormat="1" ht="12.75">
      <c r="B281" s="42"/>
      <c r="C281" s="89">
        <f t="shared" si="40"/>
        <v>240</v>
      </c>
      <c r="D281" s="90">
        <f ca="1" t="shared" si="41"/>
        <v>50649</v>
      </c>
      <c r="E281" s="71">
        <f t="shared" si="42"/>
        <v>31946.100000000002</v>
      </c>
      <c r="F281" s="71">
        <f>IF(E281="","",IF(Annuitätenrechner!$F$37&gt;=E281,E281+ROUND(E281*Annuitätenrechner!$E$21/Annuitätenrechner!$O$27,2),Annuitätenrechner!$F$37))</f>
        <v>583.33</v>
      </c>
      <c r="G281" s="71">
        <f>IF(E281="","",+ROUND(E281*Annuitätenrechner!$E$21/Annuitätenrechner!$O$27,2))</f>
        <v>133.11</v>
      </c>
      <c r="H281" s="71">
        <f>IF(E281="","",IF(Annuitätenrechner!$F$37-G281&lt;=E281,Annuitätenrechner!$F$37-G281,E281))</f>
        <v>450.22</v>
      </c>
      <c r="I281" s="91">
        <f t="shared" si="43"/>
        <v>31495.88</v>
      </c>
      <c r="J281" s="41"/>
      <c r="N281" s="56">
        <f ca="1" t="shared" si="44"/>
        <v>1</v>
      </c>
      <c r="O281" s="57">
        <f t="shared" si="45"/>
        <v>9</v>
      </c>
      <c r="P281" s="58">
        <f ca="1" t="shared" si="46"/>
        <v>2038</v>
      </c>
      <c r="R281" s="56">
        <f t="shared" si="37"/>
        <v>9</v>
      </c>
      <c r="S281" s="57" t="str">
        <f t="shared" si="47"/>
        <v/>
      </c>
      <c r="T281" s="58" t="str">
        <f t="shared" si="48"/>
        <v/>
      </c>
    </row>
    <row r="282" spans="2:20" s="7" customFormat="1" ht="12.75">
      <c r="B282" s="42"/>
      <c r="C282" s="89">
        <f t="shared" si="40"/>
        <v>241</v>
      </c>
      <c r="D282" s="90">
        <f ca="1" t="shared" si="41"/>
        <v>50679</v>
      </c>
      <c r="E282" s="71">
        <f t="shared" si="42"/>
        <v>31495.88</v>
      </c>
      <c r="F282" s="71">
        <f>IF(E282="","",IF(Annuitätenrechner!$F$37&gt;=E282,E282+ROUND(E282*Annuitätenrechner!$E$21/Annuitätenrechner!$O$27,2),Annuitätenrechner!$F$37))</f>
        <v>583.33</v>
      </c>
      <c r="G282" s="71">
        <f>IF(E282="","",+ROUND(E282*Annuitätenrechner!$E$21/Annuitätenrechner!$O$27,2))</f>
        <v>131.23</v>
      </c>
      <c r="H282" s="71">
        <f>IF(E282="","",IF(Annuitätenrechner!$F$37-G282&lt;=E282,Annuitätenrechner!$F$37-G282,E282))</f>
        <v>452.1</v>
      </c>
      <c r="I282" s="91">
        <f t="shared" si="43"/>
        <v>31043.780000000002</v>
      </c>
      <c r="J282" s="41"/>
      <c r="N282" s="56">
        <f ca="1" t="shared" si="44"/>
        <v>1</v>
      </c>
      <c r="O282" s="57">
        <f t="shared" si="45"/>
        <v>10</v>
      </c>
      <c r="P282" s="58">
        <f ca="1" t="shared" si="46"/>
        <v>2038</v>
      </c>
      <c r="R282" s="56">
        <f t="shared" si="37"/>
        <v>10</v>
      </c>
      <c r="S282" s="57" t="str">
        <f t="shared" si="47"/>
        <v/>
      </c>
      <c r="T282" s="58" t="str">
        <f t="shared" si="48"/>
        <v/>
      </c>
    </row>
    <row r="283" spans="2:20" s="7" customFormat="1" ht="12.75">
      <c r="B283" s="42"/>
      <c r="C283" s="89">
        <f t="shared" si="40"/>
        <v>242</v>
      </c>
      <c r="D283" s="90">
        <f ca="1" t="shared" si="41"/>
        <v>50710</v>
      </c>
      <c r="E283" s="71">
        <f t="shared" si="42"/>
        <v>31043.780000000002</v>
      </c>
      <c r="F283" s="71">
        <f>IF(E283="","",IF(Annuitätenrechner!$F$37&gt;=E283,E283+ROUND(E283*Annuitätenrechner!$E$21/Annuitätenrechner!$O$27,2),Annuitätenrechner!$F$37))</f>
        <v>583.33</v>
      </c>
      <c r="G283" s="71">
        <f>IF(E283="","",+ROUND(E283*Annuitätenrechner!$E$21/Annuitätenrechner!$O$27,2))</f>
        <v>129.35</v>
      </c>
      <c r="H283" s="71">
        <f>IF(E283="","",IF(Annuitätenrechner!$F$37-G283&lt;=E283,Annuitätenrechner!$F$37-G283,E283))</f>
        <v>453.98</v>
      </c>
      <c r="I283" s="91">
        <f t="shared" si="43"/>
        <v>30589.800000000003</v>
      </c>
      <c r="J283" s="41"/>
      <c r="N283" s="56">
        <f ca="1" t="shared" si="44"/>
        <v>1</v>
      </c>
      <c r="O283" s="57">
        <f t="shared" si="45"/>
        <v>11</v>
      </c>
      <c r="P283" s="58">
        <f ca="1" t="shared" si="46"/>
        <v>2038</v>
      </c>
      <c r="R283" s="56">
        <f t="shared" si="37"/>
        <v>11</v>
      </c>
      <c r="S283" s="57" t="str">
        <f t="shared" si="47"/>
        <v/>
      </c>
      <c r="T283" s="58" t="str">
        <f t="shared" si="48"/>
        <v/>
      </c>
    </row>
    <row r="284" spans="2:20" s="7" customFormat="1" ht="12.75">
      <c r="B284" s="42"/>
      <c r="C284" s="89">
        <f t="shared" si="40"/>
        <v>243</v>
      </c>
      <c r="D284" s="90">
        <f ca="1" t="shared" si="41"/>
        <v>50740</v>
      </c>
      <c r="E284" s="71">
        <f t="shared" si="42"/>
        <v>30589.800000000003</v>
      </c>
      <c r="F284" s="71">
        <f>IF(E284="","",IF(Annuitätenrechner!$F$37&gt;=E284,E284+ROUND(E284*Annuitätenrechner!$E$21/Annuitätenrechner!$O$27,2),Annuitätenrechner!$F$37))</f>
        <v>583.33</v>
      </c>
      <c r="G284" s="71">
        <f>IF(E284="","",+ROUND(E284*Annuitätenrechner!$E$21/Annuitätenrechner!$O$27,2))</f>
        <v>127.46</v>
      </c>
      <c r="H284" s="71">
        <f>IF(E284="","",IF(Annuitätenrechner!$F$37-G284&lt;=E284,Annuitätenrechner!$F$37-G284,E284))</f>
        <v>455.87000000000006</v>
      </c>
      <c r="I284" s="91">
        <f t="shared" si="43"/>
        <v>30133.930000000004</v>
      </c>
      <c r="J284" s="41"/>
      <c r="N284" s="56">
        <f ca="1" t="shared" si="44"/>
        <v>1</v>
      </c>
      <c r="O284" s="57">
        <f t="shared" si="45"/>
        <v>12</v>
      </c>
      <c r="P284" s="58">
        <f ca="1" t="shared" si="46"/>
        <v>2038</v>
      </c>
      <c r="R284" s="56">
        <f t="shared" si="37"/>
        <v>12</v>
      </c>
      <c r="S284" s="57" t="str">
        <f t="shared" si="47"/>
        <v/>
      </c>
      <c r="T284" s="58" t="str">
        <f t="shared" si="48"/>
        <v/>
      </c>
    </row>
    <row r="285" spans="2:20" s="7" customFormat="1" ht="12.75">
      <c r="B285" s="42"/>
      <c r="C285" s="89">
        <f t="shared" si="40"/>
        <v>244</v>
      </c>
      <c r="D285" s="90">
        <f ca="1" t="shared" si="41"/>
        <v>50771</v>
      </c>
      <c r="E285" s="71">
        <f t="shared" si="42"/>
        <v>30133.930000000004</v>
      </c>
      <c r="F285" s="71">
        <f>IF(E285="","",IF(Annuitätenrechner!$F$37&gt;=E285,E285+ROUND(E285*Annuitätenrechner!$E$21/Annuitätenrechner!$O$27,2),Annuitätenrechner!$F$37))</f>
        <v>583.33</v>
      </c>
      <c r="G285" s="71">
        <f>IF(E285="","",+ROUND(E285*Annuitätenrechner!$E$21/Annuitätenrechner!$O$27,2))</f>
        <v>125.56</v>
      </c>
      <c r="H285" s="71">
        <f>IF(E285="","",IF(Annuitätenrechner!$F$37-G285&lt;=E285,Annuitätenrechner!$F$37-G285,E285))</f>
        <v>457.77000000000004</v>
      </c>
      <c r="I285" s="91">
        <f t="shared" si="43"/>
        <v>29676.160000000003</v>
      </c>
      <c r="J285" s="41"/>
      <c r="N285" s="56">
        <f ca="1" t="shared" si="44"/>
        <v>1</v>
      </c>
      <c r="O285" s="57">
        <f t="shared" si="45"/>
        <v>1</v>
      </c>
      <c r="P285" s="58">
        <f ca="1" t="shared" si="46"/>
        <v>2039</v>
      </c>
      <c r="R285" s="56">
        <f t="shared" si="37"/>
        <v>1</v>
      </c>
      <c r="S285" s="57" t="str">
        <f t="shared" si="47"/>
        <v/>
      </c>
      <c r="T285" s="58" t="str">
        <f t="shared" si="48"/>
        <v/>
      </c>
    </row>
    <row r="286" spans="2:20" s="7" customFormat="1" ht="12.75">
      <c r="B286" s="42"/>
      <c r="C286" s="89">
        <f t="shared" si="40"/>
        <v>245</v>
      </c>
      <c r="D286" s="90">
        <f ca="1" t="shared" si="41"/>
        <v>50802</v>
      </c>
      <c r="E286" s="71">
        <f t="shared" si="42"/>
        <v>29676.160000000003</v>
      </c>
      <c r="F286" s="71">
        <f>IF(E286="","",IF(Annuitätenrechner!$F$37&gt;=E286,E286+ROUND(E286*Annuitätenrechner!$E$21/Annuitätenrechner!$O$27,2),Annuitätenrechner!$F$37))</f>
        <v>583.33</v>
      </c>
      <c r="G286" s="71">
        <f>IF(E286="","",+ROUND(E286*Annuitätenrechner!$E$21/Annuitätenrechner!$O$27,2))</f>
        <v>123.65</v>
      </c>
      <c r="H286" s="71">
        <f>IF(E286="","",IF(Annuitätenrechner!$F$37-G286&lt;=E286,Annuitätenrechner!$F$37-G286,E286))</f>
        <v>459.68000000000006</v>
      </c>
      <c r="I286" s="91">
        <f t="shared" si="43"/>
        <v>29216.480000000003</v>
      </c>
      <c r="J286" s="41"/>
      <c r="N286" s="56">
        <f ca="1" t="shared" si="44"/>
        <v>1</v>
      </c>
      <c r="O286" s="57">
        <f t="shared" si="45"/>
        <v>2</v>
      </c>
      <c r="P286" s="58">
        <f ca="1" t="shared" si="46"/>
        <v>2039</v>
      </c>
      <c r="R286" s="56">
        <f t="shared" si="37"/>
        <v>2</v>
      </c>
      <c r="S286" s="57" t="str">
        <f t="shared" si="47"/>
        <v/>
      </c>
      <c r="T286" s="58" t="str">
        <f t="shared" si="48"/>
        <v/>
      </c>
    </row>
    <row r="287" spans="2:20" s="7" customFormat="1" ht="12.75">
      <c r="B287" s="42"/>
      <c r="C287" s="89">
        <f t="shared" si="40"/>
        <v>246</v>
      </c>
      <c r="D287" s="90">
        <f ca="1" t="shared" si="41"/>
        <v>50830</v>
      </c>
      <c r="E287" s="71">
        <f t="shared" si="42"/>
        <v>29216.480000000003</v>
      </c>
      <c r="F287" s="71">
        <f>IF(E287="","",IF(Annuitätenrechner!$F$37&gt;=E287,E287+ROUND(E287*Annuitätenrechner!$E$21/Annuitätenrechner!$O$27,2),Annuitätenrechner!$F$37))</f>
        <v>583.33</v>
      </c>
      <c r="G287" s="71">
        <f>IF(E287="","",+ROUND(E287*Annuitätenrechner!$E$21/Annuitätenrechner!$O$27,2))</f>
        <v>121.74</v>
      </c>
      <c r="H287" s="71">
        <f>IF(E287="","",IF(Annuitätenrechner!$F$37-G287&lt;=E287,Annuitätenrechner!$F$37-G287,E287))</f>
        <v>461.59000000000003</v>
      </c>
      <c r="I287" s="91">
        <f t="shared" si="43"/>
        <v>28754.890000000003</v>
      </c>
      <c r="J287" s="41"/>
      <c r="N287" s="56">
        <f ca="1" t="shared" si="44"/>
        <v>1</v>
      </c>
      <c r="O287" s="57">
        <f t="shared" si="45"/>
        <v>3</v>
      </c>
      <c r="P287" s="58">
        <f ca="1" t="shared" si="46"/>
        <v>2039</v>
      </c>
      <c r="R287" s="56">
        <f t="shared" si="37"/>
        <v>3</v>
      </c>
      <c r="S287" s="57" t="str">
        <f t="shared" si="47"/>
        <v/>
      </c>
      <c r="T287" s="58" t="str">
        <f t="shared" si="48"/>
        <v/>
      </c>
    </row>
    <row r="288" spans="2:20" s="7" customFormat="1" ht="12.75">
      <c r="B288" s="42"/>
      <c r="C288" s="89">
        <f t="shared" si="40"/>
        <v>247</v>
      </c>
      <c r="D288" s="90">
        <f ca="1" t="shared" si="41"/>
        <v>50861</v>
      </c>
      <c r="E288" s="71">
        <f t="shared" si="42"/>
        <v>28754.890000000003</v>
      </c>
      <c r="F288" s="71">
        <f>IF(E288="","",IF(Annuitätenrechner!$F$37&gt;=E288,E288+ROUND(E288*Annuitätenrechner!$E$21/Annuitätenrechner!$O$27,2),Annuitätenrechner!$F$37))</f>
        <v>583.33</v>
      </c>
      <c r="G288" s="71">
        <f>IF(E288="","",+ROUND(E288*Annuitätenrechner!$E$21/Annuitätenrechner!$O$27,2))</f>
        <v>119.81</v>
      </c>
      <c r="H288" s="71">
        <f>IF(E288="","",IF(Annuitätenrechner!$F$37-G288&lt;=E288,Annuitätenrechner!$F$37-G288,E288))</f>
        <v>463.52000000000004</v>
      </c>
      <c r="I288" s="91">
        <f t="shared" si="43"/>
        <v>28291.370000000003</v>
      </c>
      <c r="J288" s="41"/>
      <c r="N288" s="56">
        <f ca="1" t="shared" si="44"/>
        <v>1</v>
      </c>
      <c r="O288" s="57">
        <f t="shared" si="45"/>
        <v>4</v>
      </c>
      <c r="P288" s="58">
        <f ca="1" t="shared" si="46"/>
        <v>2039</v>
      </c>
      <c r="R288" s="56">
        <f t="shared" si="37"/>
        <v>4</v>
      </c>
      <c r="S288" s="57" t="str">
        <f t="shared" si="47"/>
        <v/>
      </c>
      <c r="T288" s="58" t="str">
        <f t="shared" si="48"/>
        <v/>
      </c>
    </row>
    <row r="289" spans="2:20" s="7" customFormat="1" ht="12.75">
      <c r="B289" s="42"/>
      <c r="C289" s="89">
        <f t="shared" si="40"/>
        <v>248</v>
      </c>
      <c r="D289" s="90">
        <f ca="1" t="shared" si="41"/>
        <v>50891</v>
      </c>
      <c r="E289" s="71">
        <f t="shared" si="42"/>
        <v>28291.370000000003</v>
      </c>
      <c r="F289" s="71">
        <f>IF(E289="","",IF(Annuitätenrechner!$F$37&gt;=E289,E289+ROUND(E289*Annuitätenrechner!$E$21/Annuitätenrechner!$O$27,2),Annuitätenrechner!$F$37))</f>
        <v>583.33</v>
      </c>
      <c r="G289" s="71">
        <f>IF(E289="","",+ROUND(E289*Annuitätenrechner!$E$21/Annuitätenrechner!$O$27,2))</f>
        <v>117.88</v>
      </c>
      <c r="H289" s="71">
        <f>IF(E289="","",IF(Annuitätenrechner!$F$37-G289&lt;=E289,Annuitätenrechner!$F$37-G289,E289))</f>
        <v>465.45000000000005</v>
      </c>
      <c r="I289" s="91">
        <f t="shared" si="43"/>
        <v>27825.920000000002</v>
      </c>
      <c r="J289" s="41"/>
      <c r="N289" s="56">
        <f ca="1" t="shared" si="44"/>
        <v>1</v>
      </c>
      <c r="O289" s="57">
        <f t="shared" si="45"/>
        <v>5</v>
      </c>
      <c r="P289" s="58">
        <f ca="1" t="shared" si="46"/>
        <v>2039</v>
      </c>
      <c r="R289" s="56">
        <f t="shared" si="37"/>
        <v>5</v>
      </c>
      <c r="S289" s="57" t="str">
        <f t="shared" si="47"/>
        <v/>
      </c>
      <c r="T289" s="58" t="str">
        <f t="shared" si="48"/>
        <v/>
      </c>
    </row>
    <row r="290" spans="2:20" s="7" customFormat="1" ht="12.75">
      <c r="B290" s="42"/>
      <c r="C290" s="89">
        <f t="shared" si="40"/>
        <v>249</v>
      </c>
      <c r="D290" s="90">
        <f ca="1" t="shared" si="41"/>
        <v>50922</v>
      </c>
      <c r="E290" s="71">
        <f t="shared" si="42"/>
        <v>27825.920000000002</v>
      </c>
      <c r="F290" s="71">
        <f>IF(E290="","",IF(Annuitätenrechner!$F$37&gt;=E290,E290+ROUND(E290*Annuitätenrechner!$E$21/Annuitätenrechner!$O$27,2),Annuitätenrechner!$F$37))</f>
        <v>583.33</v>
      </c>
      <c r="G290" s="71">
        <f>IF(E290="","",+ROUND(E290*Annuitätenrechner!$E$21/Annuitätenrechner!$O$27,2))</f>
        <v>115.94</v>
      </c>
      <c r="H290" s="71">
        <f>IF(E290="","",IF(Annuitätenrechner!$F$37-G290&lt;=E290,Annuitätenrechner!$F$37-G290,E290))</f>
        <v>467.39000000000004</v>
      </c>
      <c r="I290" s="91">
        <f t="shared" si="43"/>
        <v>27358.530000000002</v>
      </c>
      <c r="J290" s="41"/>
      <c r="N290" s="56">
        <f ca="1" t="shared" si="44"/>
        <v>1</v>
      </c>
      <c r="O290" s="57">
        <f t="shared" si="45"/>
        <v>6</v>
      </c>
      <c r="P290" s="58">
        <f ca="1" t="shared" si="46"/>
        <v>2039</v>
      </c>
      <c r="R290" s="56">
        <f t="shared" si="37"/>
        <v>6</v>
      </c>
      <c r="S290" s="57" t="str">
        <f t="shared" si="47"/>
        <v/>
      </c>
      <c r="T290" s="58" t="str">
        <f t="shared" si="48"/>
        <v/>
      </c>
    </row>
    <row r="291" spans="2:20" s="7" customFormat="1" ht="12.75">
      <c r="B291" s="42"/>
      <c r="C291" s="89">
        <f t="shared" si="40"/>
        <v>250</v>
      </c>
      <c r="D291" s="90">
        <f ca="1" t="shared" si="41"/>
        <v>50952</v>
      </c>
      <c r="E291" s="71">
        <f t="shared" si="42"/>
        <v>27358.530000000002</v>
      </c>
      <c r="F291" s="71">
        <f>IF(E291="","",IF(Annuitätenrechner!$F$37&gt;=E291,E291+ROUND(E291*Annuitätenrechner!$E$21/Annuitätenrechner!$O$27,2),Annuitätenrechner!$F$37))</f>
        <v>583.33</v>
      </c>
      <c r="G291" s="71">
        <f>IF(E291="","",+ROUND(E291*Annuitätenrechner!$E$21/Annuitätenrechner!$O$27,2))</f>
        <v>113.99</v>
      </c>
      <c r="H291" s="71">
        <f>IF(E291="","",IF(Annuitätenrechner!$F$37-G291&lt;=E291,Annuitätenrechner!$F$37-G291,E291))</f>
        <v>469.34000000000003</v>
      </c>
      <c r="I291" s="91">
        <f t="shared" si="43"/>
        <v>26889.190000000002</v>
      </c>
      <c r="J291" s="41"/>
      <c r="N291" s="56">
        <f ca="1" t="shared" si="44"/>
        <v>1</v>
      </c>
      <c r="O291" s="57">
        <f t="shared" si="45"/>
        <v>7</v>
      </c>
      <c r="P291" s="58">
        <f ca="1" t="shared" si="46"/>
        <v>2039</v>
      </c>
      <c r="R291" s="56">
        <f t="shared" si="37"/>
        <v>7</v>
      </c>
      <c r="S291" s="57" t="str">
        <f t="shared" si="47"/>
        <v/>
      </c>
      <c r="T291" s="58" t="str">
        <f t="shared" si="48"/>
        <v/>
      </c>
    </row>
    <row r="292" spans="2:20" s="7" customFormat="1" ht="12.75">
      <c r="B292" s="42"/>
      <c r="C292" s="89">
        <f t="shared" si="40"/>
        <v>251</v>
      </c>
      <c r="D292" s="90">
        <f ca="1" t="shared" si="41"/>
        <v>50983</v>
      </c>
      <c r="E292" s="71">
        <f t="shared" si="42"/>
        <v>26889.190000000002</v>
      </c>
      <c r="F292" s="71">
        <f>IF(E292="","",IF(Annuitätenrechner!$F$37&gt;=E292,E292+ROUND(E292*Annuitätenrechner!$E$21/Annuitätenrechner!$O$27,2),Annuitätenrechner!$F$37))</f>
        <v>583.33</v>
      </c>
      <c r="G292" s="71">
        <f>IF(E292="","",+ROUND(E292*Annuitätenrechner!$E$21/Annuitätenrechner!$O$27,2))</f>
        <v>112.04</v>
      </c>
      <c r="H292" s="71">
        <f>IF(E292="","",IF(Annuitätenrechner!$F$37-G292&lt;=E292,Annuitätenrechner!$F$37-G292,E292))</f>
        <v>471.29</v>
      </c>
      <c r="I292" s="91">
        <f t="shared" si="43"/>
        <v>26417.9</v>
      </c>
      <c r="J292" s="41"/>
      <c r="N292" s="56">
        <f ca="1" t="shared" si="44"/>
        <v>1</v>
      </c>
      <c r="O292" s="57">
        <f t="shared" si="45"/>
        <v>8</v>
      </c>
      <c r="P292" s="58">
        <f ca="1" t="shared" si="46"/>
        <v>2039</v>
      </c>
      <c r="R292" s="56">
        <f t="shared" si="37"/>
        <v>8</v>
      </c>
      <c r="S292" s="57" t="str">
        <f t="shared" si="47"/>
        <v/>
      </c>
      <c r="T292" s="58" t="str">
        <f t="shared" si="48"/>
        <v/>
      </c>
    </row>
    <row r="293" spans="2:20" s="7" customFormat="1" ht="12.75">
      <c r="B293" s="42"/>
      <c r="C293" s="89">
        <f t="shared" si="40"/>
        <v>252</v>
      </c>
      <c r="D293" s="90">
        <f ca="1" t="shared" si="41"/>
        <v>51014</v>
      </c>
      <c r="E293" s="71">
        <f t="shared" si="42"/>
        <v>26417.9</v>
      </c>
      <c r="F293" s="71">
        <f>IF(E293="","",IF(Annuitätenrechner!$F$37&gt;=E293,E293+ROUND(E293*Annuitätenrechner!$E$21/Annuitätenrechner!$O$27,2),Annuitätenrechner!$F$37))</f>
        <v>583.33</v>
      </c>
      <c r="G293" s="71">
        <f>IF(E293="","",+ROUND(E293*Annuitätenrechner!$E$21/Annuitätenrechner!$O$27,2))</f>
        <v>110.07</v>
      </c>
      <c r="H293" s="71">
        <f>IF(E293="","",IF(Annuitätenrechner!$F$37-G293&lt;=E293,Annuitätenrechner!$F$37-G293,E293))</f>
        <v>473.26000000000005</v>
      </c>
      <c r="I293" s="91">
        <f t="shared" si="43"/>
        <v>25944.640000000003</v>
      </c>
      <c r="J293" s="41"/>
      <c r="N293" s="56">
        <f ca="1" t="shared" si="44"/>
        <v>1</v>
      </c>
      <c r="O293" s="57">
        <f t="shared" si="45"/>
        <v>9</v>
      </c>
      <c r="P293" s="58">
        <f ca="1" t="shared" si="46"/>
        <v>2039</v>
      </c>
      <c r="R293" s="56">
        <f t="shared" si="37"/>
        <v>9</v>
      </c>
      <c r="S293" s="57" t="str">
        <f t="shared" si="47"/>
        <v/>
      </c>
      <c r="T293" s="58" t="str">
        <f t="shared" si="48"/>
        <v/>
      </c>
    </row>
    <row r="294" spans="2:20" s="7" customFormat="1" ht="12.75">
      <c r="B294" s="42"/>
      <c r="C294" s="89">
        <f t="shared" si="40"/>
        <v>253</v>
      </c>
      <c r="D294" s="90">
        <f ca="1" t="shared" si="41"/>
        <v>51044</v>
      </c>
      <c r="E294" s="71">
        <f t="shared" si="42"/>
        <v>25944.640000000003</v>
      </c>
      <c r="F294" s="71">
        <f>IF(E294="","",IF(Annuitätenrechner!$F$37&gt;=E294,E294+ROUND(E294*Annuitätenrechner!$E$21/Annuitätenrechner!$O$27,2),Annuitätenrechner!$F$37))</f>
        <v>583.33</v>
      </c>
      <c r="G294" s="71">
        <f>IF(E294="","",+ROUND(E294*Annuitätenrechner!$E$21/Annuitätenrechner!$O$27,2))</f>
        <v>108.1</v>
      </c>
      <c r="H294" s="71">
        <f>IF(E294="","",IF(Annuitätenrechner!$F$37-G294&lt;=E294,Annuitätenrechner!$F$37-G294,E294))</f>
        <v>475.23</v>
      </c>
      <c r="I294" s="91">
        <f t="shared" si="43"/>
        <v>25469.410000000003</v>
      </c>
      <c r="J294" s="41"/>
      <c r="N294" s="56">
        <f ca="1" t="shared" si="44"/>
        <v>1</v>
      </c>
      <c r="O294" s="57">
        <f t="shared" si="45"/>
        <v>10</v>
      </c>
      <c r="P294" s="58">
        <f ca="1" t="shared" si="46"/>
        <v>2039</v>
      </c>
      <c r="R294" s="56">
        <f t="shared" si="37"/>
        <v>10</v>
      </c>
      <c r="S294" s="57" t="str">
        <f t="shared" si="47"/>
        <v/>
      </c>
      <c r="T294" s="58" t="str">
        <f t="shared" si="48"/>
        <v/>
      </c>
    </row>
    <row r="295" spans="2:20" s="7" customFormat="1" ht="12.75">
      <c r="B295" s="42"/>
      <c r="C295" s="89">
        <f t="shared" si="40"/>
        <v>254</v>
      </c>
      <c r="D295" s="90">
        <f ca="1" t="shared" si="41"/>
        <v>51075</v>
      </c>
      <c r="E295" s="71">
        <f t="shared" si="42"/>
        <v>25469.410000000003</v>
      </c>
      <c r="F295" s="71">
        <f>IF(E295="","",IF(Annuitätenrechner!$F$37&gt;=E295,E295+ROUND(E295*Annuitätenrechner!$E$21/Annuitätenrechner!$O$27,2),Annuitätenrechner!$F$37))</f>
        <v>583.33</v>
      </c>
      <c r="G295" s="71">
        <f>IF(E295="","",+ROUND(E295*Annuitätenrechner!$E$21/Annuitätenrechner!$O$27,2))</f>
        <v>106.12</v>
      </c>
      <c r="H295" s="71">
        <f>IF(E295="","",IF(Annuitätenrechner!$F$37-G295&lt;=E295,Annuitätenrechner!$F$37-G295,E295))</f>
        <v>477.21000000000004</v>
      </c>
      <c r="I295" s="91">
        <f t="shared" si="43"/>
        <v>24992.200000000004</v>
      </c>
      <c r="J295" s="41"/>
      <c r="N295" s="56">
        <f ca="1" t="shared" si="44"/>
        <v>1</v>
      </c>
      <c r="O295" s="57">
        <f t="shared" si="45"/>
        <v>11</v>
      </c>
      <c r="P295" s="58">
        <f ca="1" t="shared" si="46"/>
        <v>2039</v>
      </c>
      <c r="R295" s="56">
        <f t="shared" si="37"/>
        <v>11</v>
      </c>
      <c r="S295" s="57" t="str">
        <f t="shared" si="47"/>
        <v/>
      </c>
      <c r="T295" s="58" t="str">
        <f t="shared" si="48"/>
        <v/>
      </c>
    </row>
    <row r="296" spans="2:20" s="7" customFormat="1" ht="12.75">
      <c r="B296" s="42"/>
      <c r="C296" s="89">
        <f t="shared" si="40"/>
        <v>255</v>
      </c>
      <c r="D296" s="90">
        <f ca="1" t="shared" si="41"/>
        <v>51105</v>
      </c>
      <c r="E296" s="71">
        <f t="shared" si="42"/>
        <v>24992.200000000004</v>
      </c>
      <c r="F296" s="71">
        <f>IF(E296="","",IF(Annuitätenrechner!$F$37&gt;=E296,E296+ROUND(E296*Annuitätenrechner!$E$21/Annuitätenrechner!$O$27,2),Annuitätenrechner!$F$37))</f>
        <v>583.33</v>
      </c>
      <c r="G296" s="71">
        <f>IF(E296="","",+ROUND(E296*Annuitätenrechner!$E$21/Annuitätenrechner!$O$27,2))</f>
        <v>104.13</v>
      </c>
      <c r="H296" s="71">
        <f>IF(E296="","",IF(Annuitätenrechner!$F$37-G296&lt;=E296,Annuitätenrechner!$F$37-G296,E296))</f>
        <v>479.20000000000005</v>
      </c>
      <c r="I296" s="91">
        <f t="shared" si="43"/>
        <v>24513.000000000004</v>
      </c>
      <c r="J296" s="41"/>
      <c r="N296" s="56">
        <f ca="1" t="shared" si="44"/>
        <v>1</v>
      </c>
      <c r="O296" s="57">
        <f t="shared" si="45"/>
        <v>12</v>
      </c>
      <c r="P296" s="58">
        <f ca="1" t="shared" si="46"/>
        <v>2039</v>
      </c>
      <c r="R296" s="56">
        <f t="shared" si="37"/>
        <v>12</v>
      </c>
      <c r="S296" s="57" t="str">
        <f t="shared" si="47"/>
        <v/>
      </c>
      <c r="T296" s="58" t="str">
        <f t="shared" si="48"/>
        <v/>
      </c>
    </row>
    <row r="297" spans="2:20" s="7" customFormat="1" ht="12.75">
      <c r="B297" s="42"/>
      <c r="C297" s="89">
        <f t="shared" si="40"/>
        <v>256</v>
      </c>
      <c r="D297" s="90">
        <f ca="1" t="shared" si="41"/>
        <v>51136</v>
      </c>
      <c r="E297" s="71">
        <f t="shared" si="42"/>
        <v>24513.000000000004</v>
      </c>
      <c r="F297" s="71">
        <f>IF(E297="","",IF(Annuitätenrechner!$F$37&gt;=E297,E297+ROUND(E297*Annuitätenrechner!$E$21/Annuitätenrechner!$O$27,2),Annuitätenrechner!$F$37))</f>
        <v>583.33</v>
      </c>
      <c r="G297" s="71">
        <f>IF(E297="","",+ROUND(E297*Annuitätenrechner!$E$21/Annuitätenrechner!$O$27,2))</f>
        <v>102.14</v>
      </c>
      <c r="H297" s="71">
        <f>IF(E297="","",IF(Annuitätenrechner!$F$37-G297&lt;=E297,Annuitätenrechner!$F$37-G297,E297))</f>
        <v>481.19000000000005</v>
      </c>
      <c r="I297" s="91">
        <f t="shared" si="43"/>
        <v>24031.810000000005</v>
      </c>
      <c r="J297" s="41"/>
      <c r="N297" s="56">
        <f ca="1" t="shared" si="44"/>
        <v>1</v>
      </c>
      <c r="O297" s="57">
        <f t="shared" si="45"/>
        <v>1</v>
      </c>
      <c r="P297" s="58">
        <f ca="1" t="shared" si="46"/>
        <v>2040</v>
      </c>
      <c r="R297" s="56">
        <f t="shared" si="37"/>
        <v>1</v>
      </c>
      <c r="S297" s="57" t="str">
        <f t="shared" si="47"/>
        <v/>
      </c>
      <c r="T297" s="58" t="str">
        <f t="shared" si="48"/>
        <v/>
      </c>
    </row>
    <row r="298" spans="2:20" s="7" customFormat="1" ht="12.75">
      <c r="B298" s="42"/>
      <c r="C298" s="89">
        <f t="shared" si="40"/>
        <v>257</v>
      </c>
      <c r="D298" s="90">
        <f ca="1" t="shared" si="41"/>
        <v>51167</v>
      </c>
      <c r="E298" s="71">
        <f t="shared" si="42"/>
        <v>24031.810000000005</v>
      </c>
      <c r="F298" s="71">
        <f>IF(E298="","",IF(Annuitätenrechner!$F$37&gt;=E298,E298+ROUND(E298*Annuitätenrechner!$E$21/Annuitätenrechner!$O$27,2),Annuitätenrechner!$F$37))</f>
        <v>583.33</v>
      </c>
      <c r="G298" s="71">
        <f>IF(E298="","",+ROUND(E298*Annuitätenrechner!$E$21/Annuitätenrechner!$O$27,2))</f>
        <v>100.13</v>
      </c>
      <c r="H298" s="71">
        <f>IF(E298="","",IF(Annuitätenrechner!$F$37-G298&lt;=E298,Annuitätenrechner!$F$37-G298,E298))</f>
        <v>483.20000000000005</v>
      </c>
      <c r="I298" s="91">
        <f t="shared" si="43"/>
        <v>23548.610000000004</v>
      </c>
      <c r="J298" s="41"/>
      <c r="N298" s="56">
        <f ca="1" t="shared" si="44"/>
        <v>1</v>
      </c>
      <c r="O298" s="57">
        <f t="shared" si="45"/>
        <v>2</v>
      </c>
      <c r="P298" s="58">
        <f ca="1" t="shared" si="46"/>
        <v>2040</v>
      </c>
      <c r="R298" s="56">
        <f t="shared" si="37"/>
        <v>2</v>
      </c>
      <c r="S298" s="57" t="str">
        <f t="shared" si="47"/>
        <v/>
      </c>
      <c r="T298" s="58" t="str">
        <f t="shared" si="48"/>
        <v/>
      </c>
    </row>
    <row r="299" spans="2:20" s="7" customFormat="1" ht="12.75">
      <c r="B299" s="42"/>
      <c r="C299" s="89">
        <f t="shared" si="40"/>
        <v>258</v>
      </c>
      <c r="D299" s="90">
        <f ca="1" t="shared" si="41"/>
        <v>51196</v>
      </c>
      <c r="E299" s="71">
        <f t="shared" si="42"/>
        <v>23548.610000000004</v>
      </c>
      <c r="F299" s="71">
        <f>IF(E299="","",IF(Annuitätenrechner!$F$37&gt;=E299,E299+ROUND(E299*Annuitätenrechner!$E$21/Annuitätenrechner!$O$27,2),Annuitätenrechner!$F$37))</f>
        <v>583.33</v>
      </c>
      <c r="G299" s="71">
        <f>IF(E299="","",+ROUND(E299*Annuitätenrechner!$E$21/Annuitätenrechner!$O$27,2))</f>
        <v>98.12</v>
      </c>
      <c r="H299" s="71">
        <f>IF(E299="","",IF(Annuitätenrechner!$F$37-G299&lt;=E299,Annuitätenrechner!$F$37-G299,E299))</f>
        <v>485.21000000000004</v>
      </c>
      <c r="I299" s="91">
        <f t="shared" si="43"/>
        <v>23063.400000000005</v>
      </c>
      <c r="J299" s="41"/>
      <c r="N299" s="56">
        <f ca="1" t="shared" si="44"/>
        <v>1</v>
      </c>
      <c r="O299" s="57">
        <f t="shared" si="45"/>
        <v>3</v>
      </c>
      <c r="P299" s="58">
        <f ca="1" t="shared" si="46"/>
        <v>2040</v>
      </c>
      <c r="R299" s="56">
        <f t="shared" si="37"/>
        <v>3</v>
      </c>
      <c r="S299" s="57" t="str">
        <f t="shared" si="47"/>
        <v/>
      </c>
      <c r="T299" s="58" t="str">
        <f t="shared" si="48"/>
        <v/>
      </c>
    </row>
    <row r="300" spans="2:20" s="7" customFormat="1" ht="12.75">
      <c r="B300" s="42"/>
      <c r="C300" s="89">
        <f t="shared" si="40"/>
        <v>259</v>
      </c>
      <c r="D300" s="90">
        <f ca="1" t="shared" si="41"/>
        <v>51227</v>
      </c>
      <c r="E300" s="71">
        <f t="shared" si="42"/>
        <v>23063.400000000005</v>
      </c>
      <c r="F300" s="71">
        <f>IF(E300="","",IF(Annuitätenrechner!$F$37&gt;=E300,E300+ROUND(E300*Annuitätenrechner!$E$21/Annuitätenrechner!$O$27,2),Annuitätenrechner!$F$37))</f>
        <v>583.33</v>
      </c>
      <c r="G300" s="71">
        <f>IF(E300="","",+ROUND(E300*Annuitätenrechner!$E$21/Annuitätenrechner!$O$27,2))</f>
        <v>96.1</v>
      </c>
      <c r="H300" s="71">
        <f>IF(E300="","",IF(Annuitätenrechner!$F$37-G300&lt;=E300,Annuitätenrechner!$F$37-G300,E300))</f>
        <v>487.23</v>
      </c>
      <c r="I300" s="91">
        <f t="shared" si="43"/>
        <v>22576.170000000006</v>
      </c>
      <c r="J300" s="41"/>
      <c r="N300" s="56">
        <f ca="1" t="shared" si="44"/>
        <v>1</v>
      </c>
      <c r="O300" s="57">
        <f t="shared" si="45"/>
        <v>4</v>
      </c>
      <c r="P300" s="58">
        <f ca="1" t="shared" si="46"/>
        <v>2040</v>
      </c>
      <c r="R300" s="56">
        <f t="shared" si="37"/>
        <v>4</v>
      </c>
      <c r="S300" s="57" t="str">
        <f t="shared" si="47"/>
        <v/>
      </c>
      <c r="T300" s="58" t="str">
        <f t="shared" si="48"/>
        <v/>
      </c>
    </row>
    <row r="301" spans="2:20" s="7" customFormat="1" ht="12.75">
      <c r="B301" s="42"/>
      <c r="C301" s="89">
        <f t="shared" si="40"/>
        <v>260</v>
      </c>
      <c r="D301" s="90">
        <f ca="1" t="shared" si="41"/>
        <v>51257</v>
      </c>
      <c r="E301" s="71">
        <f t="shared" si="42"/>
        <v>22576.170000000006</v>
      </c>
      <c r="F301" s="71">
        <f>IF(E301="","",IF(Annuitätenrechner!$F$37&gt;=E301,E301+ROUND(E301*Annuitätenrechner!$E$21/Annuitätenrechner!$O$27,2),Annuitätenrechner!$F$37))</f>
        <v>583.33</v>
      </c>
      <c r="G301" s="71">
        <f>IF(E301="","",+ROUND(E301*Annuitätenrechner!$E$21/Annuitätenrechner!$O$27,2))</f>
        <v>94.07</v>
      </c>
      <c r="H301" s="71">
        <f>IF(E301="","",IF(Annuitätenrechner!$F$37-G301&lt;=E301,Annuitätenrechner!$F$37-G301,E301))</f>
        <v>489.26000000000005</v>
      </c>
      <c r="I301" s="91">
        <f t="shared" si="43"/>
        <v>22086.910000000007</v>
      </c>
      <c r="J301" s="41"/>
      <c r="N301" s="56">
        <f ca="1" t="shared" si="44"/>
        <v>1</v>
      </c>
      <c r="O301" s="57">
        <f t="shared" si="45"/>
        <v>5</v>
      </c>
      <c r="P301" s="58">
        <f ca="1" t="shared" si="46"/>
        <v>2040</v>
      </c>
      <c r="R301" s="56">
        <f t="shared" si="37"/>
        <v>5</v>
      </c>
      <c r="S301" s="57" t="str">
        <f t="shared" si="47"/>
        <v/>
      </c>
      <c r="T301" s="58" t="str">
        <f t="shared" si="48"/>
        <v/>
      </c>
    </row>
    <row r="302" spans="2:20" s="7" customFormat="1" ht="12.75">
      <c r="B302" s="42"/>
      <c r="C302" s="89">
        <f t="shared" si="40"/>
        <v>261</v>
      </c>
      <c r="D302" s="90">
        <f ca="1" t="shared" si="41"/>
        <v>51288</v>
      </c>
      <c r="E302" s="71">
        <f t="shared" si="42"/>
        <v>22086.910000000007</v>
      </c>
      <c r="F302" s="71">
        <f>IF(E302="","",IF(Annuitätenrechner!$F$37&gt;=E302,E302+ROUND(E302*Annuitätenrechner!$E$21/Annuitätenrechner!$O$27,2),Annuitätenrechner!$F$37))</f>
        <v>583.33</v>
      </c>
      <c r="G302" s="71">
        <f>IF(E302="","",+ROUND(E302*Annuitätenrechner!$E$21/Annuitätenrechner!$O$27,2))</f>
        <v>92.03</v>
      </c>
      <c r="H302" s="71">
        <f>IF(E302="","",IF(Annuitätenrechner!$F$37-G302&lt;=E302,Annuitätenrechner!$F$37-G302,E302))</f>
        <v>491.30000000000007</v>
      </c>
      <c r="I302" s="91">
        <f t="shared" si="43"/>
        <v>21595.610000000008</v>
      </c>
      <c r="J302" s="41"/>
      <c r="N302" s="56">
        <f ca="1" t="shared" si="44"/>
        <v>1</v>
      </c>
      <c r="O302" s="57">
        <f t="shared" si="45"/>
        <v>6</v>
      </c>
      <c r="P302" s="58">
        <f ca="1" t="shared" si="46"/>
        <v>2040</v>
      </c>
      <c r="R302" s="56">
        <f t="shared" si="37"/>
        <v>6</v>
      </c>
      <c r="S302" s="57" t="str">
        <f t="shared" si="47"/>
        <v/>
      </c>
      <c r="T302" s="58" t="str">
        <f t="shared" si="48"/>
        <v/>
      </c>
    </row>
    <row r="303" spans="2:20" s="7" customFormat="1" ht="12.75">
      <c r="B303" s="42"/>
      <c r="C303" s="89">
        <f t="shared" si="40"/>
        <v>262</v>
      </c>
      <c r="D303" s="90">
        <f ca="1" t="shared" si="41"/>
        <v>51318</v>
      </c>
      <c r="E303" s="71">
        <f t="shared" si="42"/>
        <v>21595.610000000008</v>
      </c>
      <c r="F303" s="71">
        <f>IF(E303="","",IF(Annuitätenrechner!$F$37&gt;=E303,E303+ROUND(E303*Annuitätenrechner!$E$21/Annuitätenrechner!$O$27,2),Annuitätenrechner!$F$37))</f>
        <v>583.33</v>
      </c>
      <c r="G303" s="71">
        <f>IF(E303="","",+ROUND(E303*Annuitätenrechner!$E$21/Annuitätenrechner!$O$27,2))</f>
        <v>89.98</v>
      </c>
      <c r="H303" s="71">
        <f>IF(E303="","",IF(Annuitätenrechner!$F$37-G303&lt;=E303,Annuitätenrechner!$F$37-G303,E303))</f>
        <v>493.35</v>
      </c>
      <c r="I303" s="91">
        <f t="shared" si="43"/>
        <v>21102.26000000001</v>
      </c>
      <c r="J303" s="41"/>
      <c r="N303" s="56">
        <f ca="1" t="shared" si="44"/>
        <v>1</v>
      </c>
      <c r="O303" s="57">
        <f t="shared" si="45"/>
        <v>7</v>
      </c>
      <c r="P303" s="58">
        <f ca="1" t="shared" si="46"/>
        <v>2040</v>
      </c>
      <c r="R303" s="56">
        <f t="shared" si="37"/>
        <v>7</v>
      </c>
      <c r="S303" s="57" t="str">
        <f t="shared" si="47"/>
        <v/>
      </c>
      <c r="T303" s="58" t="str">
        <f t="shared" si="48"/>
        <v/>
      </c>
    </row>
    <row r="304" spans="2:20" s="7" customFormat="1" ht="12.75">
      <c r="B304" s="42"/>
      <c r="C304" s="89">
        <f t="shared" si="40"/>
        <v>263</v>
      </c>
      <c r="D304" s="90">
        <f ca="1" t="shared" si="41"/>
        <v>51349</v>
      </c>
      <c r="E304" s="71">
        <f t="shared" si="42"/>
        <v>21102.26000000001</v>
      </c>
      <c r="F304" s="71">
        <f>IF(E304="","",IF(Annuitätenrechner!$F$37&gt;=E304,E304+ROUND(E304*Annuitätenrechner!$E$21/Annuitätenrechner!$O$27,2),Annuitätenrechner!$F$37))</f>
        <v>583.33</v>
      </c>
      <c r="G304" s="71">
        <f>IF(E304="","",+ROUND(E304*Annuitätenrechner!$E$21/Annuitätenrechner!$O$27,2))</f>
        <v>87.93</v>
      </c>
      <c r="H304" s="71">
        <f>IF(E304="","",IF(Annuitätenrechner!$F$37-G304&lt;=E304,Annuitätenrechner!$F$37-G304,E304))</f>
        <v>495.40000000000003</v>
      </c>
      <c r="I304" s="91">
        <f t="shared" si="43"/>
        <v>20606.860000000008</v>
      </c>
      <c r="J304" s="41"/>
      <c r="N304" s="56">
        <f ca="1" t="shared" si="44"/>
        <v>1</v>
      </c>
      <c r="O304" s="57">
        <f t="shared" si="45"/>
        <v>8</v>
      </c>
      <c r="P304" s="58">
        <f ca="1" t="shared" si="46"/>
        <v>2040</v>
      </c>
      <c r="R304" s="56">
        <f t="shared" si="37"/>
        <v>8</v>
      </c>
      <c r="S304" s="57" t="str">
        <f t="shared" si="47"/>
        <v/>
      </c>
      <c r="T304" s="58" t="str">
        <f t="shared" si="48"/>
        <v/>
      </c>
    </row>
    <row r="305" spans="2:20" s="7" customFormat="1" ht="12.75">
      <c r="B305" s="42"/>
      <c r="C305" s="89">
        <f t="shared" si="40"/>
        <v>264</v>
      </c>
      <c r="D305" s="90">
        <f ca="1" t="shared" si="41"/>
        <v>51380</v>
      </c>
      <c r="E305" s="71">
        <f t="shared" si="42"/>
        <v>20606.860000000008</v>
      </c>
      <c r="F305" s="71">
        <f>IF(E305="","",IF(Annuitätenrechner!$F$37&gt;=E305,E305+ROUND(E305*Annuitätenrechner!$E$21/Annuitätenrechner!$O$27,2),Annuitätenrechner!$F$37))</f>
        <v>583.33</v>
      </c>
      <c r="G305" s="71">
        <f>IF(E305="","",+ROUND(E305*Annuitätenrechner!$E$21/Annuitätenrechner!$O$27,2))</f>
        <v>85.86</v>
      </c>
      <c r="H305" s="71">
        <f>IF(E305="","",IF(Annuitätenrechner!$F$37-G305&lt;=E305,Annuitätenrechner!$F$37-G305,E305))</f>
        <v>497.47</v>
      </c>
      <c r="I305" s="91">
        <f t="shared" si="43"/>
        <v>20109.390000000007</v>
      </c>
      <c r="J305" s="41"/>
      <c r="N305" s="56">
        <f ca="1" t="shared" si="44"/>
        <v>1</v>
      </c>
      <c r="O305" s="57">
        <f t="shared" si="45"/>
        <v>9</v>
      </c>
      <c r="P305" s="58">
        <f ca="1" t="shared" si="46"/>
        <v>2040</v>
      </c>
      <c r="R305" s="56">
        <f t="shared" si="37"/>
        <v>9</v>
      </c>
      <c r="S305" s="57" t="str">
        <f t="shared" si="47"/>
        <v/>
      </c>
      <c r="T305" s="58" t="str">
        <f t="shared" si="48"/>
        <v/>
      </c>
    </row>
    <row r="306" spans="2:20" s="7" customFormat="1" ht="12.75">
      <c r="B306" s="42"/>
      <c r="C306" s="89">
        <f t="shared" si="40"/>
        <v>265</v>
      </c>
      <c r="D306" s="90">
        <f ca="1" t="shared" si="41"/>
        <v>51410</v>
      </c>
      <c r="E306" s="71">
        <f t="shared" si="42"/>
        <v>20109.390000000007</v>
      </c>
      <c r="F306" s="71">
        <f>IF(E306="","",IF(Annuitätenrechner!$F$37&gt;=E306,E306+ROUND(E306*Annuitätenrechner!$E$21/Annuitätenrechner!$O$27,2),Annuitätenrechner!$F$37))</f>
        <v>583.33</v>
      </c>
      <c r="G306" s="71">
        <f>IF(E306="","",+ROUND(E306*Annuitätenrechner!$E$21/Annuitätenrechner!$O$27,2))</f>
        <v>83.79</v>
      </c>
      <c r="H306" s="71">
        <f>IF(E306="","",IF(Annuitätenrechner!$F$37-G306&lt;=E306,Annuitätenrechner!$F$37-G306,E306))</f>
        <v>499.54</v>
      </c>
      <c r="I306" s="91">
        <f t="shared" si="43"/>
        <v>19609.850000000006</v>
      </c>
      <c r="J306" s="41"/>
      <c r="N306" s="56">
        <f ca="1" t="shared" si="44"/>
        <v>1</v>
      </c>
      <c r="O306" s="57">
        <f t="shared" si="45"/>
        <v>10</v>
      </c>
      <c r="P306" s="58">
        <f ca="1" t="shared" si="46"/>
        <v>2040</v>
      </c>
      <c r="R306" s="56">
        <f t="shared" si="37"/>
        <v>10</v>
      </c>
      <c r="S306" s="57" t="str">
        <f t="shared" si="47"/>
        <v/>
      </c>
      <c r="T306" s="58" t="str">
        <f t="shared" si="48"/>
        <v/>
      </c>
    </row>
    <row r="307" spans="2:20" s="7" customFormat="1" ht="12.75">
      <c r="B307" s="42"/>
      <c r="C307" s="89">
        <f t="shared" si="40"/>
        <v>266</v>
      </c>
      <c r="D307" s="90">
        <f ca="1" t="shared" si="41"/>
        <v>51441</v>
      </c>
      <c r="E307" s="71">
        <f t="shared" si="42"/>
        <v>19609.850000000006</v>
      </c>
      <c r="F307" s="71">
        <f>IF(E307="","",IF(Annuitätenrechner!$F$37&gt;=E307,E307+ROUND(E307*Annuitätenrechner!$E$21/Annuitätenrechner!$O$27,2),Annuitätenrechner!$F$37))</f>
        <v>583.33</v>
      </c>
      <c r="G307" s="71">
        <f>IF(E307="","",+ROUND(E307*Annuitätenrechner!$E$21/Annuitätenrechner!$O$27,2))</f>
        <v>81.71</v>
      </c>
      <c r="H307" s="71">
        <f>IF(E307="","",IF(Annuitätenrechner!$F$37-G307&lt;=E307,Annuitätenrechner!$F$37-G307,E307))</f>
        <v>501.62000000000006</v>
      </c>
      <c r="I307" s="91">
        <f t="shared" si="43"/>
        <v>19108.230000000007</v>
      </c>
      <c r="J307" s="41"/>
      <c r="N307" s="56">
        <f ca="1" t="shared" si="44"/>
        <v>1</v>
      </c>
      <c r="O307" s="57">
        <f t="shared" si="45"/>
        <v>11</v>
      </c>
      <c r="P307" s="58">
        <f ca="1" t="shared" si="46"/>
        <v>2040</v>
      </c>
      <c r="R307" s="56">
        <f t="shared" si="37"/>
        <v>11</v>
      </c>
      <c r="S307" s="57" t="str">
        <f t="shared" si="47"/>
        <v/>
      </c>
      <c r="T307" s="58" t="str">
        <f t="shared" si="48"/>
        <v/>
      </c>
    </row>
    <row r="308" spans="2:20" s="7" customFormat="1" ht="12.75">
      <c r="B308" s="42"/>
      <c r="C308" s="89">
        <f t="shared" si="40"/>
        <v>267</v>
      </c>
      <c r="D308" s="90">
        <f ca="1" t="shared" si="41"/>
        <v>51471</v>
      </c>
      <c r="E308" s="71">
        <f t="shared" si="42"/>
        <v>19108.230000000007</v>
      </c>
      <c r="F308" s="71">
        <f>IF(E308="","",IF(Annuitätenrechner!$F$37&gt;=E308,E308+ROUND(E308*Annuitätenrechner!$E$21/Annuitätenrechner!$O$27,2),Annuitätenrechner!$F$37))</f>
        <v>583.33</v>
      </c>
      <c r="G308" s="71">
        <f>IF(E308="","",+ROUND(E308*Annuitätenrechner!$E$21/Annuitätenrechner!$O$27,2))</f>
        <v>79.62</v>
      </c>
      <c r="H308" s="71">
        <f>IF(E308="","",IF(Annuitätenrechner!$F$37-G308&lt;=E308,Annuitätenrechner!$F$37-G308,E308))</f>
        <v>503.71000000000004</v>
      </c>
      <c r="I308" s="91">
        <f t="shared" si="43"/>
        <v>18604.520000000008</v>
      </c>
      <c r="J308" s="41"/>
      <c r="N308" s="56">
        <f ca="1" t="shared" si="44"/>
        <v>1</v>
      </c>
      <c r="O308" s="57">
        <f t="shared" si="45"/>
        <v>12</v>
      </c>
      <c r="P308" s="58">
        <f ca="1" t="shared" si="46"/>
        <v>2040</v>
      </c>
      <c r="R308" s="56">
        <f t="shared" si="37"/>
        <v>12</v>
      </c>
      <c r="S308" s="57" t="str">
        <f t="shared" si="47"/>
        <v/>
      </c>
      <c r="T308" s="58" t="str">
        <f t="shared" si="48"/>
        <v/>
      </c>
    </row>
    <row r="309" spans="2:20" s="7" customFormat="1" ht="12.75">
      <c r="B309" s="42"/>
      <c r="C309" s="89">
        <f t="shared" si="40"/>
        <v>268</v>
      </c>
      <c r="D309" s="90">
        <f ca="1" t="shared" si="41"/>
        <v>51502</v>
      </c>
      <c r="E309" s="71">
        <f t="shared" si="42"/>
        <v>18604.520000000008</v>
      </c>
      <c r="F309" s="71">
        <f>IF(E309="","",IF(Annuitätenrechner!$F$37&gt;=E309,E309+ROUND(E309*Annuitätenrechner!$E$21/Annuitätenrechner!$O$27,2),Annuitätenrechner!$F$37))</f>
        <v>583.33</v>
      </c>
      <c r="G309" s="71">
        <f>IF(E309="","",+ROUND(E309*Annuitätenrechner!$E$21/Annuitätenrechner!$O$27,2))</f>
        <v>77.52</v>
      </c>
      <c r="H309" s="71">
        <f>IF(E309="","",IF(Annuitätenrechner!$F$37-G309&lt;=E309,Annuitätenrechner!$F$37-G309,E309))</f>
        <v>505.81000000000006</v>
      </c>
      <c r="I309" s="91">
        <f t="shared" si="43"/>
        <v>18098.710000000006</v>
      </c>
      <c r="J309" s="41"/>
      <c r="N309" s="56">
        <f ca="1" t="shared" si="44"/>
        <v>1</v>
      </c>
      <c r="O309" s="57">
        <f t="shared" si="45"/>
        <v>1</v>
      </c>
      <c r="P309" s="58">
        <f ca="1" t="shared" si="46"/>
        <v>2041</v>
      </c>
      <c r="R309" s="56">
        <f t="shared" si="37"/>
        <v>1</v>
      </c>
      <c r="S309" s="57" t="str">
        <f t="shared" si="47"/>
        <v/>
      </c>
      <c r="T309" s="58" t="str">
        <f t="shared" si="48"/>
        <v/>
      </c>
    </row>
    <row r="310" spans="2:20" s="7" customFormat="1" ht="12.75">
      <c r="B310" s="42"/>
      <c r="C310" s="89">
        <f t="shared" si="40"/>
        <v>269</v>
      </c>
      <c r="D310" s="90">
        <f ca="1" t="shared" si="41"/>
        <v>51533</v>
      </c>
      <c r="E310" s="71">
        <f t="shared" si="42"/>
        <v>18098.710000000006</v>
      </c>
      <c r="F310" s="71">
        <f>IF(E310="","",IF(Annuitätenrechner!$F$37&gt;=E310,E310+ROUND(E310*Annuitätenrechner!$E$21/Annuitätenrechner!$O$27,2),Annuitätenrechner!$F$37))</f>
        <v>583.33</v>
      </c>
      <c r="G310" s="71">
        <f>IF(E310="","",+ROUND(E310*Annuitätenrechner!$E$21/Annuitätenrechner!$O$27,2))</f>
        <v>75.41</v>
      </c>
      <c r="H310" s="71">
        <f>IF(E310="","",IF(Annuitätenrechner!$F$37-G310&lt;=E310,Annuitätenrechner!$F$37-G310,E310))</f>
        <v>507.9200000000001</v>
      </c>
      <c r="I310" s="91">
        <f t="shared" si="43"/>
        <v>17590.790000000008</v>
      </c>
      <c r="J310" s="41"/>
      <c r="N310" s="56">
        <f ca="1" t="shared" si="44"/>
        <v>1</v>
      </c>
      <c r="O310" s="57">
        <f t="shared" si="45"/>
        <v>2</v>
      </c>
      <c r="P310" s="58">
        <f ca="1" t="shared" si="46"/>
        <v>2041</v>
      </c>
      <c r="R310" s="56">
        <f t="shared" si="37"/>
        <v>2</v>
      </c>
      <c r="S310" s="57" t="str">
        <f t="shared" si="47"/>
        <v/>
      </c>
      <c r="T310" s="58" t="str">
        <f t="shared" si="48"/>
        <v/>
      </c>
    </row>
    <row r="311" spans="2:20" s="7" customFormat="1" ht="12.75">
      <c r="B311" s="42"/>
      <c r="C311" s="89">
        <f t="shared" si="40"/>
        <v>270</v>
      </c>
      <c r="D311" s="90">
        <f ca="1" t="shared" si="41"/>
        <v>51561</v>
      </c>
      <c r="E311" s="71">
        <f t="shared" si="42"/>
        <v>17590.790000000008</v>
      </c>
      <c r="F311" s="71">
        <f>IF(E311="","",IF(Annuitätenrechner!$F$37&gt;=E311,E311+ROUND(E311*Annuitätenrechner!$E$21/Annuitätenrechner!$O$27,2),Annuitätenrechner!$F$37))</f>
        <v>583.33</v>
      </c>
      <c r="G311" s="71">
        <f>IF(E311="","",+ROUND(E311*Annuitätenrechner!$E$21/Annuitätenrechner!$O$27,2))</f>
        <v>73.29</v>
      </c>
      <c r="H311" s="71">
        <f>IF(E311="","",IF(Annuitätenrechner!$F$37-G311&lt;=E311,Annuitätenrechner!$F$37-G311,E311))</f>
        <v>510.04</v>
      </c>
      <c r="I311" s="91">
        <f t="shared" si="43"/>
        <v>17080.750000000007</v>
      </c>
      <c r="J311" s="41"/>
      <c r="N311" s="56">
        <f ca="1" t="shared" si="44"/>
        <v>1</v>
      </c>
      <c r="O311" s="57">
        <f t="shared" si="45"/>
        <v>3</v>
      </c>
      <c r="P311" s="58">
        <f ca="1" t="shared" si="46"/>
        <v>2041</v>
      </c>
      <c r="R311" s="56">
        <f t="shared" si="37"/>
        <v>3</v>
      </c>
      <c r="S311" s="57" t="str">
        <f t="shared" si="47"/>
        <v/>
      </c>
      <c r="T311" s="58" t="str">
        <f t="shared" si="48"/>
        <v/>
      </c>
    </row>
    <row r="312" spans="2:20" s="7" customFormat="1" ht="12.75">
      <c r="B312" s="42"/>
      <c r="C312" s="89">
        <f t="shared" si="40"/>
        <v>271</v>
      </c>
      <c r="D312" s="90">
        <f ca="1" t="shared" si="41"/>
        <v>51592</v>
      </c>
      <c r="E312" s="71">
        <f t="shared" si="42"/>
        <v>17080.750000000007</v>
      </c>
      <c r="F312" s="71">
        <f>IF(E312="","",IF(Annuitätenrechner!$F$37&gt;=E312,E312+ROUND(E312*Annuitätenrechner!$E$21/Annuitätenrechner!$O$27,2),Annuitätenrechner!$F$37))</f>
        <v>583.33</v>
      </c>
      <c r="G312" s="71">
        <f>IF(E312="","",+ROUND(E312*Annuitätenrechner!$E$21/Annuitätenrechner!$O$27,2))</f>
        <v>71.17</v>
      </c>
      <c r="H312" s="71">
        <f>IF(E312="","",IF(Annuitätenrechner!$F$37-G312&lt;=E312,Annuitätenrechner!$F$37-G312,E312))</f>
        <v>512.1600000000001</v>
      </c>
      <c r="I312" s="91">
        <f t="shared" si="43"/>
        <v>16568.590000000007</v>
      </c>
      <c r="J312" s="41"/>
      <c r="N312" s="56">
        <f ca="1" t="shared" si="44"/>
        <v>1</v>
      </c>
      <c r="O312" s="57">
        <f t="shared" si="45"/>
        <v>4</v>
      </c>
      <c r="P312" s="58">
        <f ca="1" t="shared" si="46"/>
        <v>2041</v>
      </c>
      <c r="R312" s="56">
        <f t="shared" si="37"/>
        <v>4</v>
      </c>
      <c r="S312" s="57" t="str">
        <f t="shared" si="47"/>
        <v/>
      </c>
      <c r="T312" s="58" t="str">
        <f t="shared" si="48"/>
        <v/>
      </c>
    </row>
    <row r="313" spans="2:20" s="7" customFormat="1" ht="12.75">
      <c r="B313" s="42"/>
      <c r="C313" s="89">
        <f t="shared" si="40"/>
        <v>272</v>
      </c>
      <c r="D313" s="90">
        <f ca="1" t="shared" si="41"/>
        <v>51622</v>
      </c>
      <c r="E313" s="71">
        <f t="shared" si="42"/>
        <v>16568.590000000007</v>
      </c>
      <c r="F313" s="71">
        <f>IF(E313="","",IF(Annuitätenrechner!$F$37&gt;=E313,E313+ROUND(E313*Annuitätenrechner!$E$21/Annuitätenrechner!$O$27,2),Annuitätenrechner!$F$37))</f>
        <v>583.33</v>
      </c>
      <c r="G313" s="71">
        <f>IF(E313="","",+ROUND(E313*Annuitätenrechner!$E$21/Annuitätenrechner!$O$27,2))</f>
        <v>69.04</v>
      </c>
      <c r="H313" s="71">
        <f>IF(E313="","",IF(Annuitätenrechner!$F$37-G313&lt;=E313,Annuitätenrechner!$F$37-G313,E313))</f>
        <v>514.2900000000001</v>
      </c>
      <c r="I313" s="91">
        <f t="shared" si="43"/>
        <v>16054.300000000007</v>
      </c>
      <c r="J313" s="41"/>
      <c r="N313" s="56">
        <f ca="1" t="shared" si="44"/>
        <v>1</v>
      </c>
      <c r="O313" s="57">
        <f t="shared" si="45"/>
        <v>5</v>
      </c>
      <c r="P313" s="58">
        <f ca="1" t="shared" si="46"/>
        <v>2041</v>
      </c>
      <c r="R313" s="56">
        <f t="shared" si="37"/>
        <v>5</v>
      </c>
      <c r="S313" s="57" t="str">
        <f t="shared" si="47"/>
        <v/>
      </c>
      <c r="T313" s="58" t="str">
        <f t="shared" si="48"/>
        <v/>
      </c>
    </row>
    <row r="314" spans="2:20" s="7" customFormat="1" ht="12.75">
      <c r="B314" s="42"/>
      <c r="C314" s="89">
        <f t="shared" si="40"/>
        <v>273</v>
      </c>
      <c r="D314" s="90">
        <f ca="1" t="shared" si="41"/>
        <v>51653</v>
      </c>
      <c r="E314" s="71">
        <f t="shared" si="42"/>
        <v>16054.300000000007</v>
      </c>
      <c r="F314" s="71">
        <f>IF(E314="","",IF(Annuitätenrechner!$F$37&gt;=E314,E314+ROUND(E314*Annuitätenrechner!$E$21/Annuitätenrechner!$O$27,2),Annuitätenrechner!$F$37))</f>
        <v>583.33</v>
      </c>
      <c r="G314" s="71">
        <f>IF(E314="","",+ROUND(E314*Annuitätenrechner!$E$21/Annuitätenrechner!$O$27,2))</f>
        <v>66.89</v>
      </c>
      <c r="H314" s="71">
        <f>IF(E314="","",IF(Annuitätenrechner!$F$37-G314&lt;=E314,Annuitätenrechner!$F$37-G314,E314))</f>
        <v>516.44</v>
      </c>
      <c r="I314" s="91">
        <f t="shared" si="43"/>
        <v>15537.860000000006</v>
      </c>
      <c r="J314" s="41"/>
      <c r="N314" s="56">
        <f ca="1" t="shared" si="44"/>
        <v>1</v>
      </c>
      <c r="O314" s="57">
        <f t="shared" si="45"/>
        <v>6</v>
      </c>
      <c r="P314" s="58">
        <f ca="1" t="shared" si="46"/>
        <v>2041</v>
      </c>
      <c r="R314" s="56">
        <f t="shared" si="37"/>
        <v>6</v>
      </c>
      <c r="S314" s="57" t="str">
        <f t="shared" si="47"/>
        <v/>
      </c>
      <c r="T314" s="58" t="str">
        <f t="shared" si="48"/>
        <v/>
      </c>
    </row>
    <row r="315" spans="2:20" s="7" customFormat="1" ht="12.75">
      <c r="B315" s="42"/>
      <c r="C315" s="89">
        <f t="shared" si="40"/>
        <v>274</v>
      </c>
      <c r="D315" s="90">
        <f ca="1" t="shared" si="41"/>
        <v>51683</v>
      </c>
      <c r="E315" s="71">
        <f t="shared" si="42"/>
        <v>15537.860000000006</v>
      </c>
      <c r="F315" s="71">
        <f>IF(E315="","",IF(Annuitätenrechner!$F$37&gt;=E315,E315+ROUND(E315*Annuitätenrechner!$E$21/Annuitätenrechner!$O$27,2),Annuitätenrechner!$F$37))</f>
        <v>583.33</v>
      </c>
      <c r="G315" s="71">
        <f>IF(E315="","",+ROUND(E315*Annuitätenrechner!$E$21/Annuitätenrechner!$O$27,2))</f>
        <v>64.74</v>
      </c>
      <c r="H315" s="71">
        <f>IF(E315="","",IF(Annuitätenrechner!$F$37-G315&lt;=E315,Annuitätenrechner!$F$37-G315,E315))</f>
        <v>518.59</v>
      </c>
      <c r="I315" s="91">
        <f t="shared" si="43"/>
        <v>15019.270000000006</v>
      </c>
      <c r="J315" s="41"/>
      <c r="N315" s="56">
        <f ca="1" t="shared" si="44"/>
        <v>1</v>
      </c>
      <c r="O315" s="57">
        <f t="shared" si="45"/>
        <v>7</v>
      </c>
      <c r="P315" s="58">
        <f ca="1" t="shared" si="46"/>
        <v>2041</v>
      </c>
      <c r="R315" s="56">
        <f t="shared" si="37"/>
        <v>7</v>
      </c>
      <c r="S315" s="57" t="str">
        <f t="shared" si="47"/>
        <v/>
      </c>
      <c r="T315" s="58" t="str">
        <f t="shared" si="48"/>
        <v/>
      </c>
    </row>
    <row r="316" spans="2:20" s="7" customFormat="1" ht="12.75">
      <c r="B316" s="42"/>
      <c r="C316" s="89">
        <f t="shared" si="40"/>
        <v>275</v>
      </c>
      <c r="D316" s="90">
        <f ca="1" t="shared" si="41"/>
        <v>51714</v>
      </c>
      <c r="E316" s="71">
        <f t="shared" si="42"/>
        <v>15019.270000000006</v>
      </c>
      <c r="F316" s="71">
        <f>IF(E316="","",IF(Annuitätenrechner!$F$37&gt;=E316,E316+ROUND(E316*Annuitätenrechner!$E$21/Annuitätenrechner!$O$27,2),Annuitätenrechner!$F$37))</f>
        <v>583.33</v>
      </c>
      <c r="G316" s="71">
        <f>IF(E316="","",+ROUND(E316*Annuitätenrechner!$E$21/Annuitätenrechner!$O$27,2))</f>
        <v>62.58</v>
      </c>
      <c r="H316" s="71">
        <f>IF(E316="","",IF(Annuitätenrechner!$F$37-G316&lt;=E316,Annuitätenrechner!$F$37-G316,E316))</f>
        <v>520.75</v>
      </c>
      <c r="I316" s="91">
        <f t="shared" si="43"/>
        <v>14498.520000000006</v>
      </c>
      <c r="J316" s="41"/>
      <c r="N316" s="56">
        <f ca="1" t="shared" si="44"/>
        <v>1</v>
      </c>
      <c r="O316" s="57">
        <f t="shared" si="45"/>
        <v>8</v>
      </c>
      <c r="P316" s="58">
        <f ca="1" t="shared" si="46"/>
        <v>2041</v>
      </c>
      <c r="R316" s="56">
        <f t="shared" si="37"/>
        <v>8</v>
      </c>
      <c r="S316" s="57" t="str">
        <f t="shared" si="47"/>
        <v/>
      </c>
      <c r="T316" s="58" t="str">
        <f t="shared" si="48"/>
        <v/>
      </c>
    </row>
    <row r="317" spans="2:20" s="7" customFormat="1" ht="12.75">
      <c r="B317" s="42"/>
      <c r="C317" s="89">
        <f t="shared" si="40"/>
        <v>276</v>
      </c>
      <c r="D317" s="90">
        <f ca="1" t="shared" si="41"/>
        <v>51745</v>
      </c>
      <c r="E317" s="71">
        <f t="shared" si="42"/>
        <v>14498.520000000006</v>
      </c>
      <c r="F317" s="71">
        <f>IF(E317="","",IF(Annuitätenrechner!$F$37&gt;=E317,E317+ROUND(E317*Annuitätenrechner!$E$21/Annuitätenrechner!$O$27,2),Annuitätenrechner!$F$37))</f>
        <v>583.33</v>
      </c>
      <c r="G317" s="71">
        <f>IF(E317="","",+ROUND(E317*Annuitätenrechner!$E$21/Annuitätenrechner!$O$27,2))</f>
        <v>60.41</v>
      </c>
      <c r="H317" s="71">
        <f>IF(E317="","",IF(Annuitätenrechner!$F$37-G317&lt;=E317,Annuitätenrechner!$F$37-G317,E317))</f>
        <v>522.9200000000001</v>
      </c>
      <c r="I317" s="91">
        <f t="shared" si="43"/>
        <v>13975.600000000006</v>
      </c>
      <c r="J317" s="41"/>
      <c r="N317" s="56">
        <f ca="1" t="shared" si="44"/>
        <v>1</v>
      </c>
      <c r="O317" s="57">
        <f t="shared" si="45"/>
        <v>9</v>
      </c>
      <c r="P317" s="58">
        <f ca="1" t="shared" si="46"/>
        <v>2041</v>
      </c>
      <c r="R317" s="56">
        <f t="shared" si="37"/>
        <v>9</v>
      </c>
      <c r="S317" s="57" t="str">
        <f t="shared" si="47"/>
        <v/>
      </c>
      <c r="T317" s="58" t="str">
        <f t="shared" si="48"/>
        <v/>
      </c>
    </row>
    <row r="318" spans="2:20" s="7" customFormat="1" ht="12.75">
      <c r="B318" s="42"/>
      <c r="C318" s="89">
        <f t="shared" si="40"/>
        <v>277</v>
      </c>
      <c r="D318" s="90">
        <f ca="1" t="shared" si="41"/>
        <v>51775</v>
      </c>
      <c r="E318" s="71">
        <f t="shared" si="42"/>
        <v>13975.600000000006</v>
      </c>
      <c r="F318" s="71">
        <f>IF(E318="","",IF(Annuitätenrechner!$F$37&gt;=E318,E318+ROUND(E318*Annuitätenrechner!$E$21/Annuitätenrechner!$O$27,2),Annuitätenrechner!$F$37))</f>
        <v>583.33</v>
      </c>
      <c r="G318" s="71">
        <f>IF(E318="","",+ROUND(E318*Annuitätenrechner!$E$21/Annuitätenrechner!$O$27,2))</f>
        <v>58.23</v>
      </c>
      <c r="H318" s="71">
        <f>IF(E318="","",IF(Annuitätenrechner!$F$37-G318&lt;=E318,Annuitätenrechner!$F$37-G318,E318))</f>
        <v>525.1</v>
      </c>
      <c r="I318" s="91">
        <f t="shared" si="43"/>
        <v>13450.500000000005</v>
      </c>
      <c r="J318" s="41"/>
      <c r="N318" s="56">
        <f ca="1" t="shared" si="44"/>
        <v>1</v>
      </c>
      <c r="O318" s="57">
        <f t="shared" si="45"/>
        <v>10</v>
      </c>
      <c r="P318" s="58">
        <f ca="1" t="shared" si="46"/>
        <v>2041</v>
      </c>
      <c r="R318" s="56">
        <f t="shared" si="37"/>
        <v>10</v>
      </c>
      <c r="S318" s="57" t="str">
        <f t="shared" si="47"/>
        <v/>
      </c>
      <c r="T318" s="58" t="str">
        <f t="shared" si="48"/>
        <v/>
      </c>
    </row>
    <row r="319" spans="2:20" s="7" customFormat="1" ht="12.75">
      <c r="B319" s="42"/>
      <c r="C319" s="89">
        <f t="shared" si="40"/>
        <v>278</v>
      </c>
      <c r="D319" s="90">
        <f ca="1" t="shared" si="41"/>
        <v>51806</v>
      </c>
      <c r="E319" s="71">
        <f t="shared" si="42"/>
        <v>13450.500000000005</v>
      </c>
      <c r="F319" s="71">
        <f>IF(E319="","",IF(Annuitätenrechner!$F$37&gt;=E319,E319+ROUND(E319*Annuitätenrechner!$E$21/Annuitätenrechner!$O$27,2),Annuitätenrechner!$F$37))</f>
        <v>583.33</v>
      </c>
      <c r="G319" s="71">
        <f>IF(E319="","",+ROUND(E319*Annuitätenrechner!$E$21/Annuitätenrechner!$O$27,2))</f>
        <v>56.04</v>
      </c>
      <c r="H319" s="71">
        <f>IF(E319="","",IF(Annuitätenrechner!$F$37-G319&lt;=E319,Annuitätenrechner!$F$37-G319,E319))</f>
        <v>527.2900000000001</v>
      </c>
      <c r="I319" s="91">
        <f t="shared" si="43"/>
        <v>12923.210000000005</v>
      </c>
      <c r="J319" s="41"/>
      <c r="N319" s="56">
        <f ca="1" t="shared" si="44"/>
        <v>1</v>
      </c>
      <c r="O319" s="57">
        <f t="shared" si="45"/>
        <v>11</v>
      </c>
      <c r="P319" s="58">
        <f ca="1" t="shared" si="46"/>
        <v>2041</v>
      </c>
      <c r="R319" s="56">
        <f t="shared" si="37"/>
        <v>11</v>
      </c>
      <c r="S319" s="57" t="str">
        <f t="shared" si="47"/>
        <v/>
      </c>
      <c r="T319" s="58" t="str">
        <f t="shared" si="48"/>
        <v/>
      </c>
    </row>
    <row r="320" spans="2:20" s="7" customFormat="1" ht="12.75">
      <c r="B320" s="42"/>
      <c r="C320" s="89">
        <f t="shared" si="40"/>
        <v>279</v>
      </c>
      <c r="D320" s="90">
        <f ca="1" t="shared" si="41"/>
        <v>51836</v>
      </c>
      <c r="E320" s="71">
        <f t="shared" si="42"/>
        <v>12923.210000000005</v>
      </c>
      <c r="F320" s="71">
        <f>IF(E320="","",IF(Annuitätenrechner!$F$37&gt;=E320,E320+ROUND(E320*Annuitätenrechner!$E$21/Annuitätenrechner!$O$27,2),Annuitätenrechner!$F$37))</f>
        <v>583.33</v>
      </c>
      <c r="G320" s="71">
        <f>IF(E320="","",+ROUND(E320*Annuitätenrechner!$E$21/Annuitätenrechner!$O$27,2))</f>
        <v>53.85</v>
      </c>
      <c r="H320" s="71">
        <f>IF(E320="","",IF(Annuitätenrechner!$F$37-G320&lt;=E320,Annuitätenrechner!$F$37-G320,E320))</f>
        <v>529.48</v>
      </c>
      <c r="I320" s="91">
        <f t="shared" si="43"/>
        <v>12393.730000000005</v>
      </c>
      <c r="J320" s="41"/>
      <c r="N320" s="56">
        <f ca="1" t="shared" si="44"/>
        <v>1</v>
      </c>
      <c r="O320" s="57">
        <f t="shared" si="45"/>
        <v>12</v>
      </c>
      <c r="P320" s="58">
        <f ca="1" t="shared" si="46"/>
        <v>2041</v>
      </c>
      <c r="R320" s="56">
        <f t="shared" si="37"/>
        <v>12</v>
      </c>
      <c r="S320" s="57" t="str">
        <f t="shared" si="47"/>
        <v/>
      </c>
      <c r="T320" s="58" t="str">
        <f t="shared" si="48"/>
        <v/>
      </c>
    </row>
    <row r="321" spans="2:20" s="7" customFormat="1" ht="12.75">
      <c r="B321" s="42"/>
      <c r="C321" s="89">
        <f t="shared" si="40"/>
        <v>280</v>
      </c>
      <c r="D321" s="90">
        <f ca="1" t="shared" si="41"/>
        <v>51867</v>
      </c>
      <c r="E321" s="71">
        <f t="shared" si="42"/>
        <v>12393.730000000005</v>
      </c>
      <c r="F321" s="71">
        <f>IF(E321="","",IF(Annuitätenrechner!$F$37&gt;=E321,E321+ROUND(E321*Annuitätenrechner!$E$21/Annuitätenrechner!$O$27,2),Annuitätenrechner!$F$37))</f>
        <v>583.33</v>
      </c>
      <c r="G321" s="71">
        <f>IF(E321="","",+ROUND(E321*Annuitätenrechner!$E$21/Annuitätenrechner!$O$27,2))</f>
        <v>51.64</v>
      </c>
      <c r="H321" s="71">
        <f>IF(E321="","",IF(Annuitätenrechner!$F$37-G321&lt;=E321,Annuitätenrechner!$F$37-G321,E321))</f>
        <v>531.69</v>
      </c>
      <c r="I321" s="91">
        <f t="shared" si="43"/>
        <v>11862.040000000005</v>
      </c>
      <c r="J321" s="41"/>
      <c r="N321" s="56">
        <f ca="1" t="shared" si="44"/>
        <v>1</v>
      </c>
      <c r="O321" s="57">
        <f t="shared" si="45"/>
        <v>1</v>
      </c>
      <c r="P321" s="58">
        <f ca="1" t="shared" si="46"/>
        <v>2042</v>
      </c>
      <c r="R321" s="56">
        <f t="shared" si="37"/>
        <v>1</v>
      </c>
      <c r="S321" s="57" t="str">
        <f t="shared" si="47"/>
        <v/>
      </c>
      <c r="T321" s="58" t="str">
        <f t="shared" si="48"/>
        <v/>
      </c>
    </row>
    <row r="322" spans="2:20" s="7" customFormat="1" ht="12.75">
      <c r="B322" s="42"/>
      <c r="C322" s="89">
        <f t="shared" si="40"/>
        <v>281</v>
      </c>
      <c r="D322" s="90">
        <f ca="1" t="shared" si="41"/>
        <v>51898</v>
      </c>
      <c r="E322" s="71">
        <f t="shared" si="42"/>
        <v>11862.040000000005</v>
      </c>
      <c r="F322" s="71">
        <f>IF(E322="","",IF(Annuitätenrechner!$F$37&gt;=E322,E322+ROUND(E322*Annuitätenrechner!$E$21/Annuitätenrechner!$O$27,2),Annuitätenrechner!$F$37))</f>
        <v>583.33</v>
      </c>
      <c r="G322" s="71">
        <f>IF(E322="","",+ROUND(E322*Annuitätenrechner!$E$21/Annuitätenrechner!$O$27,2))</f>
        <v>49.43</v>
      </c>
      <c r="H322" s="71">
        <f>IF(E322="","",IF(Annuitätenrechner!$F$37-G322&lt;=E322,Annuitätenrechner!$F$37-G322,E322))</f>
        <v>533.9000000000001</v>
      </c>
      <c r="I322" s="91">
        <f t="shared" si="43"/>
        <v>11328.140000000005</v>
      </c>
      <c r="J322" s="41"/>
      <c r="N322" s="56">
        <f ca="1" t="shared" si="44"/>
        <v>1</v>
      </c>
      <c r="O322" s="57">
        <f t="shared" si="45"/>
        <v>2</v>
      </c>
      <c r="P322" s="58">
        <f ca="1" t="shared" si="46"/>
        <v>2042</v>
      </c>
      <c r="R322" s="56">
        <f t="shared" si="37"/>
        <v>2</v>
      </c>
      <c r="S322" s="57" t="str">
        <f t="shared" si="47"/>
        <v/>
      </c>
      <c r="T322" s="58" t="str">
        <f t="shared" si="48"/>
        <v/>
      </c>
    </row>
    <row r="323" spans="2:20" s="7" customFormat="1" ht="12.75">
      <c r="B323" s="42"/>
      <c r="C323" s="89">
        <f t="shared" si="40"/>
        <v>282</v>
      </c>
      <c r="D323" s="90">
        <f ca="1" t="shared" si="41"/>
        <v>51926</v>
      </c>
      <c r="E323" s="71">
        <f t="shared" si="42"/>
        <v>11328.140000000005</v>
      </c>
      <c r="F323" s="71">
        <f>IF(E323="","",IF(Annuitätenrechner!$F$37&gt;=E323,E323+ROUND(E323*Annuitätenrechner!$E$21/Annuitätenrechner!$O$27,2),Annuitätenrechner!$F$37))</f>
        <v>583.33</v>
      </c>
      <c r="G323" s="71">
        <f>IF(E323="","",+ROUND(E323*Annuitätenrechner!$E$21/Annuitätenrechner!$O$27,2))</f>
        <v>47.2</v>
      </c>
      <c r="H323" s="71">
        <f>IF(E323="","",IF(Annuitätenrechner!$F$37-G323&lt;=E323,Annuitätenrechner!$F$37-G323,E323))</f>
        <v>536.13</v>
      </c>
      <c r="I323" s="91">
        <f t="shared" si="43"/>
        <v>10792.010000000006</v>
      </c>
      <c r="J323" s="41"/>
      <c r="N323" s="56">
        <f ca="1" t="shared" si="44"/>
        <v>1</v>
      </c>
      <c r="O323" s="57">
        <f t="shared" si="45"/>
        <v>3</v>
      </c>
      <c r="P323" s="58">
        <f ca="1" t="shared" si="46"/>
        <v>2042</v>
      </c>
      <c r="R323" s="56">
        <f t="shared" si="37"/>
        <v>3</v>
      </c>
      <c r="S323" s="57" t="str">
        <f t="shared" si="47"/>
        <v/>
      </c>
      <c r="T323" s="58" t="str">
        <f t="shared" si="48"/>
        <v/>
      </c>
    </row>
    <row r="324" spans="2:20" s="7" customFormat="1" ht="12.75">
      <c r="B324" s="42"/>
      <c r="C324" s="89">
        <f t="shared" si="40"/>
        <v>283</v>
      </c>
      <c r="D324" s="90">
        <f ca="1" t="shared" si="41"/>
        <v>51957</v>
      </c>
      <c r="E324" s="71">
        <f t="shared" si="42"/>
        <v>10792.010000000006</v>
      </c>
      <c r="F324" s="71">
        <f>IF(E324="","",IF(Annuitätenrechner!$F$37&gt;=E324,E324+ROUND(E324*Annuitätenrechner!$E$21/Annuitätenrechner!$O$27,2),Annuitätenrechner!$F$37))</f>
        <v>583.33</v>
      </c>
      <c r="G324" s="71">
        <f>IF(E324="","",+ROUND(E324*Annuitätenrechner!$E$21/Annuitätenrechner!$O$27,2))</f>
        <v>44.97</v>
      </c>
      <c r="H324" s="71">
        <f>IF(E324="","",IF(Annuitätenrechner!$F$37-G324&lt;=E324,Annuitätenrechner!$F$37-G324,E324))</f>
        <v>538.36</v>
      </c>
      <c r="I324" s="91">
        <f t="shared" si="43"/>
        <v>10253.650000000005</v>
      </c>
      <c r="J324" s="41"/>
      <c r="N324" s="56">
        <f ca="1" t="shared" si="44"/>
        <v>1</v>
      </c>
      <c r="O324" s="57">
        <f t="shared" si="45"/>
        <v>4</v>
      </c>
      <c r="P324" s="58">
        <f ca="1" t="shared" si="46"/>
        <v>2042</v>
      </c>
      <c r="R324" s="56">
        <f t="shared" si="37"/>
        <v>4</v>
      </c>
      <c r="S324" s="57" t="str">
        <f t="shared" si="47"/>
        <v/>
      </c>
      <c r="T324" s="58" t="str">
        <f t="shared" si="48"/>
        <v/>
      </c>
    </row>
    <row r="325" spans="2:20" s="7" customFormat="1" ht="12.75">
      <c r="B325" s="42"/>
      <c r="C325" s="89">
        <f t="shared" si="40"/>
        <v>284</v>
      </c>
      <c r="D325" s="90">
        <f ca="1" t="shared" si="41"/>
        <v>51987</v>
      </c>
      <c r="E325" s="71">
        <f t="shared" si="42"/>
        <v>10253.650000000005</v>
      </c>
      <c r="F325" s="71">
        <f>IF(E325="","",IF(Annuitätenrechner!$F$37&gt;=E325,E325+ROUND(E325*Annuitätenrechner!$E$21/Annuitätenrechner!$O$27,2),Annuitätenrechner!$F$37))</f>
        <v>583.33</v>
      </c>
      <c r="G325" s="71">
        <f>IF(E325="","",+ROUND(E325*Annuitätenrechner!$E$21/Annuitätenrechner!$O$27,2))</f>
        <v>42.72</v>
      </c>
      <c r="H325" s="71">
        <f>IF(E325="","",IF(Annuitätenrechner!$F$37-G325&lt;=E325,Annuitätenrechner!$F$37-G325,E325))</f>
        <v>540.61</v>
      </c>
      <c r="I325" s="91">
        <f t="shared" si="43"/>
        <v>9713.040000000005</v>
      </c>
      <c r="J325" s="41"/>
      <c r="N325" s="56">
        <f ca="1" t="shared" si="44"/>
        <v>1</v>
      </c>
      <c r="O325" s="57">
        <f t="shared" si="45"/>
        <v>5</v>
      </c>
      <c r="P325" s="58">
        <f ca="1" t="shared" si="46"/>
        <v>2042</v>
      </c>
      <c r="R325" s="56">
        <f t="shared" si="37"/>
        <v>5</v>
      </c>
      <c r="S325" s="57" t="str">
        <f t="shared" si="47"/>
        <v/>
      </c>
      <c r="T325" s="58" t="str">
        <f t="shared" si="48"/>
        <v/>
      </c>
    </row>
    <row r="326" spans="2:20" s="7" customFormat="1" ht="12.75">
      <c r="B326" s="42"/>
      <c r="C326" s="89">
        <f t="shared" si="40"/>
        <v>285</v>
      </c>
      <c r="D326" s="90">
        <f ca="1" t="shared" si="41"/>
        <v>52018</v>
      </c>
      <c r="E326" s="71">
        <f t="shared" si="42"/>
        <v>9713.040000000005</v>
      </c>
      <c r="F326" s="71">
        <f>IF(E326="","",IF(Annuitätenrechner!$F$37&gt;=E326,E326+ROUND(E326*Annuitätenrechner!$E$21/Annuitätenrechner!$O$27,2),Annuitätenrechner!$F$37))</f>
        <v>583.33</v>
      </c>
      <c r="G326" s="71">
        <f>IF(E326="","",+ROUND(E326*Annuitätenrechner!$E$21/Annuitätenrechner!$O$27,2))</f>
        <v>40.47</v>
      </c>
      <c r="H326" s="71">
        <f>IF(E326="","",IF(Annuitätenrechner!$F$37-G326&lt;=E326,Annuitätenrechner!$F$37-G326,E326))</f>
        <v>542.86</v>
      </c>
      <c r="I326" s="91">
        <f t="shared" si="43"/>
        <v>9170.180000000004</v>
      </c>
      <c r="J326" s="41"/>
      <c r="N326" s="56">
        <f ca="1" t="shared" si="44"/>
        <v>1</v>
      </c>
      <c r="O326" s="57">
        <f t="shared" si="45"/>
        <v>6</v>
      </c>
      <c r="P326" s="58">
        <f ca="1" t="shared" si="46"/>
        <v>2042</v>
      </c>
      <c r="R326" s="56">
        <f t="shared" si="37"/>
        <v>6</v>
      </c>
      <c r="S326" s="57" t="str">
        <f t="shared" si="47"/>
        <v/>
      </c>
      <c r="T326" s="58" t="str">
        <f t="shared" si="48"/>
        <v/>
      </c>
    </row>
    <row r="327" spans="2:20" s="7" customFormat="1" ht="12.75">
      <c r="B327" s="42"/>
      <c r="C327" s="89">
        <f t="shared" si="40"/>
        <v>286</v>
      </c>
      <c r="D327" s="90">
        <f ca="1" t="shared" si="41"/>
        <v>52048</v>
      </c>
      <c r="E327" s="71">
        <f t="shared" si="42"/>
        <v>9170.180000000004</v>
      </c>
      <c r="F327" s="71">
        <f>IF(E327="","",IF(Annuitätenrechner!$F$37&gt;=E327,E327+ROUND(E327*Annuitätenrechner!$E$21/Annuitätenrechner!$O$27,2),Annuitätenrechner!$F$37))</f>
        <v>583.33</v>
      </c>
      <c r="G327" s="71">
        <f>IF(E327="","",+ROUND(E327*Annuitätenrechner!$E$21/Annuitätenrechner!$O$27,2))</f>
        <v>38.21</v>
      </c>
      <c r="H327" s="71">
        <f>IF(E327="","",IF(Annuitätenrechner!$F$37-G327&lt;=E327,Annuitätenrechner!$F$37-G327,E327))</f>
        <v>545.12</v>
      </c>
      <c r="I327" s="91">
        <f t="shared" si="43"/>
        <v>8625.060000000003</v>
      </c>
      <c r="J327" s="41"/>
      <c r="N327" s="56">
        <f ca="1" t="shared" si="44"/>
        <v>1</v>
      </c>
      <c r="O327" s="57">
        <f t="shared" si="45"/>
        <v>7</v>
      </c>
      <c r="P327" s="58">
        <f ca="1" t="shared" si="46"/>
        <v>2042</v>
      </c>
      <c r="R327" s="56">
        <f t="shared" si="37"/>
        <v>7</v>
      </c>
      <c r="S327" s="57" t="str">
        <f t="shared" si="47"/>
        <v/>
      </c>
      <c r="T327" s="58" t="str">
        <f t="shared" si="48"/>
        <v/>
      </c>
    </row>
    <row r="328" spans="2:20" s="7" customFormat="1" ht="12.75">
      <c r="B328" s="42"/>
      <c r="C328" s="89">
        <f t="shared" si="40"/>
        <v>287</v>
      </c>
      <c r="D328" s="90">
        <f ca="1" t="shared" si="41"/>
        <v>52079</v>
      </c>
      <c r="E328" s="71">
        <f t="shared" si="42"/>
        <v>8625.060000000003</v>
      </c>
      <c r="F328" s="71">
        <f>IF(E328="","",IF(Annuitätenrechner!$F$37&gt;=E328,E328+ROUND(E328*Annuitätenrechner!$E$21/Annuitätenrechner!$O$27,2),Annuitätenrechner!$F$37))</f>
        <v>583.33</v>
      </c>
      <c r="G328" s="71">
        <f>IF(E328="","",+ROUND(E328*Annuitätenrechner!$E$21/Annuitätenrechner!$O$27,2))</f>
        <v>35.94</v>
      </c>
      <c r="H328" s="71">
        <f>IF(E328="","",IF(Annuitätenrechner!$F$37-G328&lt;=E328,Annuitätenrechner!$F$37-G328,E328))</f>
        <v>547.3900000000001</v>
      </c>
      <c r="I328" s="91">
        <f t="shared" si="43"/>
        <v>8077.670000000003</v>
      </c>
      <c r="J328" s="41"/>
      <c r="N328" s="56">
        <f ca="1" t="shared" si="44"/>
        <v>1</v>
      </c>
      <c r="O328" s="57">
        <f t="shared" si="45"/>
        <v>8</v>
      </c>
      <c r="P328" s="58">
        <f ca="1" t="shared" si="46"/>
        <v>2042</v>
      </c>
      <c r="R328" s="56">
        <f t="shared" si="37"/>
        <v>8</v>
      </c>
      <c r="S328" s="57" t="str">
        <f t="shared" si="47"/>
        <v/>
      </c>
      <c r="T328" s="58" t="str">
        <f t="shared" si="48"/>
        <v/>
      </c>
    </row>
    <row r="329" spans="2:20" s="7" customFormat="1" ht="12.75">
      <c r="B329" s="42"/>
      <c r="C329" s="89">
        <f t="shared" si="40"/>
        <v>288</v>
      </c>
      <c r="D329" s="90">
        <f ca="1" t="shared" si="41"/>
        <v>52110</v>
      </c>
      <c r="E329" s="71">
        <f t="shared" si="42"/>
        <v>8077.670000000003</v>
      </c>
      <c r="F329" s="71">
        <f>IF(E329="","",IF(Annuitätenrechner!$F$37&gt;=E329,E329+ROUND(E329*Annuitätenrechner!$E$21/Annuitätenrechner!$O$27,2),Annuitätenrechner!$F$37))</f>
        <v>583.33</v>
      </c>
      <c r="G329" s="71">
        <f>IF(E329="","",+ROUND(E329*Annuitätenrechner!$E$21/Annuitätenrechner!$O$27,2))</f>
        <v>33.66</v>
      </c>
      <c r="H329" s="71">
        <f>IF(E329="","",IF(Annuitätenrechner!$F$37-G329&lt;=E329,Annuitätenrechner!$F$37-G329,E329))</f>
        <v>549.6700000000001</v>
      </c>
      <c r="I329" s="91">
        <f t="shared" si="43"/>
        <v>7528.000000000003</v>
      </c>
      <c r="J329" s="41"/>
      <c r="N329" s="56">
        <f ca="1" t="shared" si="44"/>
        <v>1</v>
      </c>
      <c r="O329" s="57">
        <f t="shared" si="45"/>
        <v>9</v>
      </c>
      <c r="P329" s="58">
        <f ca="1" t="shared" si="46"/>
        <v>2042</v>
      </c>
      <c r="R329" s="56">
        <f t="shared" si="37"/>
        <v>9</v>
      </c>
      <c r="S329" s="57" t="str">
        <f t="shared" si="47"/>
        <v/>
      </c>
      <c r="T329" s="58" t="str">
        <f t="shared" si="48"/>
        <v/>
      </c>
    </row>
    <row r="330" spans="2:20" s="7" customFormat="1" ht="12.75">
      <c r="B330" s="42"/>
      <c r="C330" s="89">
        <f t="shared" si="40"/>
        <v>289</v>
      </c>
      <c r="D330" s="90">
        <f ca="1" t="shared" si="41"/>
        <v>52140</v>
      </c>
      <c r="E330" s="71">
        <f t="shared" si="42"/>
        <v>7528.000000000003</v>
      </c>
      <c r="F330" s="71">
        <f>IF(E330="","",IF(Annuitätenrechner!$F$37&gt;=E330,E330+ROUND(E330*Annuitätenrechner!$E$21/Annuitätenrechner!$O$27,2),Annuitätenrechner!$F$37))</f>
        <v>583.33</v>
      </c>
      <c r="G330" s="71">
        <f>IF(E330="","",+ROUND(E330*Annuitätenrechner!$E$21/Annuitätenrechner!$O$27,2))</f>
        <v>31.37</v>
      </c>
      <c r="H330" s="71">
        <f>IF(E330="","",IF(Annuitätenrechner!$F$37-G330&lt;=E330,Annuitätenrechner!$F$37-G330,E330))</f>
        <v>551.96</v>
      </c>
      <c r="I330" s="91">
        <f t="shared" si="43"/>
        <v>6976.040000000003</v>
      </c>
      <c r="J330" s="41"/>
      <c r="N330" s="56">
        <f ca="1" t="shared" si="44"/>
        <v>1</v>
      </c>
      <c r="O330" s="57">
        <f t="shared" si="45"/>
        <v>10</v>
      </c>
      <c r="P330" s="58">
        <f ca="1" t="shared" si="46"/>
        <v>2042</v>
      </c>
      <c r="R330" s="56">
        <f t="shared" si="37"/>
        <v>10</v>
      </c>
      <c r="S330" s="57" t="str">
        <f t="shared" si="47"/>
        <v/>
      </c>
      <c r="T330" s="58" t="str">
        <f t="shared" si="48"/>
        <v/>
      </c>
    </row>
    <row r="331" spans="2:20" s="7" customFormat="1" ht="12.75">
      <c r="B331" s="42"/>
      <c r="C331" s="89">
        <f t="shared" si="40"/>
        <v>290</v>
      </c>
      <c r="D331" s="90">
        <f ca="1" t="shared" si="41"/>
        <v>52171</v>
      </c>
      <c r="E331" s="71">
        <f t="shared" si="42"/>
        <v>6976.040000000003</v>
      </c>
      <c r="F331" s="71">
        <f>IF(E331="","",IF(Annuitätenrechner!$F$37&gt;=E331,E331+ROUND(E331*Annuitätenrechner!$E$21/Annuitätenrechner!$O$27,2),Annuitätenrechner!$F$37))</f>
        <v>583.33</v>
      </c>
      <c r="G331" s="71">
        <f>IF(E331="","",+ROUND(E331*Annuitätenrechner!$E$21/Annuitätenrechner!$O$27,2))</f>
        <v>29.07</v>
      </c>
      <c r="H331" s="71">
        <f>IF(E331="","",IF(Annuitätenrechner!$F$37-G331&lt;=E331,Annuitätenrechner!$F$37-G331,E331))</f>
        <v>554.26</v>
      </c>
      <c r="I331" s="91">
        <f t="shared" si="43"/>
        <v>6421.7800000000025</v>
      </c>
      <c r="J331" s="41"/>
      <c r="N331" s="56">
        <f ca="1" t="shared" si="44"/>
        <v>1</v>
      </c>
      <c r="O331" s="57">
        <f t="shared" si="45"/>
        <v>11</v>
      </c>
      <c r="P331" s="58">
        <f ca="1" t="shared" si="46"/>
        <v>2042</v>
      </c>
      <c r="R331" s="56">
        <f t="shared" si="37"/>
        <v>11</v>
      </c>
      <c r="S331" s="57" t="str">
        <f t="shared" si="47"/>
        <v/>
      </c>
      <c r="T331" s="58" t="str">
        <f t="shared" si="48"/>
        <v/>
      </c>
    </row>
    <row r="332" spans="2:20" s="7" customFormat="1" ht="12.75">
      <c r="B332" s="42"/>
      <c r="C332" s="89">
        <f t="shared" si="40"/>
        <v>291</v>
      </c>
      <c r="D332" s="90">
        <f ca="1" t="shared" si="41"/>
        <v>52201</v>
      </c>
      <c r="E332" s="71">
        <f t="shared" si="42"/>
        <v>6421.7800000000025</v>
      </c>
      <c r="F332" s="71">
        <f>IF(E332="","",IF(Annuitätenrechner!$F$37&gt;=E332,E332+ROUND(E332*Annuitätenrechner!$E$21/Annuitätenrechner!$O$27,2),Annuitätenrechner!$F$37))</f>
        <v>583.33</v>
      </c>
      <c r="G332" s="71">
        <f>IF(E332="","",+ROUND(E332*Annuitätenrechner!$E$21/Annuitätenrechner!$O$27,2))</f>
        <v>26.76</v>
      </c>
      <c r="H332" s="71">
        <f>IF(E332="","",IF(Annuitätenrechner!$F$37-G332&lt;=E332,Annuitätenrechner!$F$37-G332,E332))</f>
        <v>556.57</v>
      </c>
      <c r="I332" s="91">
        <f t="shared" si="43"/>
        <v>5865.210000000003</v>
      </c>
      <c r="J332" s="41"/>
      <c r="N332" s="56">
        <f ca="1" t="shared" si="44"/>
        <v>1</v>
      </c>
      <c r="O332" s="57">
        <f t="shared" si="45"/>
        <v>12</v>
      </c>
      <c r="P332" s="58">
        <f ca="1" t="shared" si="46"/>
        <v>2042</v>
      </c>
      <c r="R332" s="56">
        <f t="shared" si="37"/>
        <v>12</v>
      </c>
      <c r="S332" s="57" t="str">
        <f t="shared" si="47"/>
        <v/>
      </c>
      <c r="T332" s="58" t="str">
        <f t="shared" si="48"/>
        <v/>
      </c>
    </row>
    <row r="333" spans="2:20" s="7" customFormat="1" ht="12.75">
      <c r="B333" s="42"/>
      <c r="C333" s="89">
        <f t="shared" si="40"/>
        <v>292</v>
      </c>
      <c r="D333" s="90">
        <f ca="1" t="shared" si="41"/>
        <v>52232</v>
      </c>
      <c r="E333" s="71">
        <f t="shared" si="42"/>
        <v>5865.210000000003</v>
      </c>
      <c r="F333" s="71">
        <f>IF(E333="","",IF(Annuitätenrechner!$F$37&gt;=E333,E333+ROUND(E333*Annuitätenrechner!$E$21/Annuitätenrechner!$O$27,2),Annuitätenrechner!$F$37))</f>
        <v>583.33</v>
      </c>
      <c r="G333" s="71">
        <f>IF(E333="","",+ROUND(E333*Annuitätenrechner!$E$21/Annuitätenrechner!$O$27,2))</f>
        <v>24.44</v>
      </c>
      <c r="H333" s="71">
        <f>IF(E333="","",IF(Annuitätenrechner!$F$37-G333&lt;=E333,Annuitätenrechner!$F$37-G333,E333))</f>
        <v>558.89</v>
      </c>
      <c r="I333" s="91">
        <f t="shared" si="43"/>
        <v>5306.320000000002</v>
      </c>
      <c r="J333" s="41"/>
      <c r="N333" s="56">
        <f ca="1" t="shared" si="44"/>
        <v>1</v>
      </c>
      <c r="O333" s="57">
        <f t="shared" si="45"/>
        <v>1</v>
      </c>
      <c r="P333" s="58">
        <f ca="1" t="shared" si="46"/>
        <v>2043</v>
      </c>
      <c r="R333" s="56">
        <f t="shared" si="37"/>
        <v>1</v>
      </c>
      <c r="S333" s="57" t="str">
        <f t="shared" si="47"/>
        <v/>
      </c>
      <c r="T333" s="58" t="str">
        <f t="shared" si="48"/>
        <v/>
      </c>
    </row>
    <row r="334" spans="2:20" s="7" customFormat="1" ht="12.75">
      <c r="B334" s="42"/>
      <c r="C334" s="89">
        <f t="shared" si="40"/>
        <v>293</v>
      </c>
      <c r="D334" s="90">
        <f ca="1" t="shared" si="41"/>
        <v>52263</v>
      </c>
      <c r="E334" s="71">
        <f t="shared" si="42"/>
        <v>5306.320000000002</v>
      </c>
      <c r="F334" s="71">
        <f>IF(E334="","",IF(Annuitätenrechner!$F$37&gt;=E334,E334+ROUND(E334*Annuitätenrechner!$E$21/Annuitätenrechner!$O$27,2),Annuitätenrechner!$F$37))</f>
        <v>583.33</v>
      </c>
      <c r="G334" s="71">
        <f>IF(E334="","",+ROUND(E334*Annuitätenrechner!$E$21/Annuitätenrechner!$O$27,2))</f>
        <v>22.11</v>
      </c>
      <c r="H334" s="71">
        <f>IF(E334="","",IF(Annuitätenrechner!$F$37-G334&lt;=E334,Annuitätenrechner!$F$37-G334,E334))</f>
        <v>561.22</v>
      </c>
      <c r="I334" s="91">
        <f t="shared" si="43"/>
        <v>4745.100000000002</v>
      </c>
      <c r="J334" s="41"/>
      <c r="N334" s="56">
        <f ca="1" t="shared" si="44"/>
        <v>1</v>
      </c>
      <c r="O334" s="57">
        <f t="shared" si="45"/>
        <v>2</v>
      </c>
      <c r="P334" s="58">
        <f ca="1" t="shared" si="46"/>
        <v>2043</v>
      </c>
      <c r="R334" s="56">
        <f t="shared" si="37"/>
        <v>2</v>
      </c>
      <c r="S334" s="57" t="str">
        <f t="shared" si="47"/>
        <v/>
      </c>
      <c r="T334" s="58" t="str">
        <f t="shared" si="48"/>
        <v/>
      </c>
    </row>
    <row r="335" spans="2:20" s="7" customFormat="1" ht="12.75">
      <c r="B335" s="42"/>
      <c r="C335" s="89">
        <f t="shared" si="40"/>
        <v>294</v>
      </c>
      <c r="D335" s="90">
        <f ca="1" t="shared" si="41"/>
        <v>52291</v>
      </c>
      <c r="E335" s="71">
        <f t="shared" si="42"/>
        <v>4745.100000000002</v>
      </c>
      <c r="F335" s="71">
        <f>IF(E335="","",IF(Annuitätenrechner!$F$37&gt;=E335,E335+ROUND(E335*Annuitätenrechner!$E$21/Annuitätenrechner!$O$27,2),Annuitätenrechner!$F$37))</f>
        <v>583.33</v>
      </c>
      <c r="G335" s="71">
        <f>IF(E335="","",+ROUND(E335*Annuitätenrechner!$E$21/Annuitätenrechner!$O$27,2))</f>
        <v>19.77</v>
      </c>
      <c r="H335" s="71">
        <f>IF(E335="","",IF(Annuitätenrechner!$F$37-G335&lt;=E335,Annuitätenrechner!$F$37-G335,E335))</f>
        <v>563.5600000000001</v>
      </c>
      <c r="I335" s="91">
        <f t="shared" si="43"/>
        <v>4181.540000000002</v>
      </c>
      <c r="J335" s="41"/>
      <c r="N335" s="56">
        <f ca="1" t="shared" si="44"/>
        <v>1</v>
      </c>
      <c r="O335" s="57">
        <f t="shared" si="45"/>
        <v>3</v>
      </c>
      <c r="P335" s="58">
        <f ca="1" t="shared" si="46"/>
        <v>2043</v>
      </c>
      <c r="R335" s="56">
        <f t="shared" si="37"/>
        <v>3</v>
      </c>
      <c r="S335" s="57" t="str">
        <f t="shared" si="47"/>
        <v/>
      </c>
      <c r="T335" s="58" t="str">
        <f t="shared" si="48"/>
        <v/>
      </c>
    </row>
    <row r="336" spans="2:20" s="7" customFormat="1" ht="12.75">
      <c r="B336" s="42"/>
      <c r="C336" s="89">
        <f t="shared" si="40"/>
        <v>295</v>
      </c>
      <c r="D336" s="90">
        <f ca="1" t="shared" si="41"/>
        <v>52322</v>
      </c>
      <c r="E336" s="71">
        <f t="shared" si="42"/>
        <v>4181.540000000002</v>
      </c>
      <c r="F336" s="71">
        <f>IF(E336="","",IF(Annuitätenrechner!$F$37&gt;=E336,E336+ROUND(E336*Annuitätenrechner!$E$21/Annuitätenrechner!$O$27,2),Annuitätenrechner!$F$37))</f>
        <v>583.33</v>
      </c>
      <c r="G336" s="71">
        <f>IF(E336="","",+ROUND(E336*Annuitätenrechner!$E$21/Annuitätenrechner!$O$27,2))</f>
        <v>17.42</v>
      </c>
      <c r="H336" s="71">
        <f>IF(E336="","",IF(Annuitätenrechner!$F$37-G336&lt;=E336,Annuitätenrechner!$F$37-G336,E336))</f>
        <v>565.9100000000001</v>
      </c>
      <c r="I336" s="91">
        <f t="shared" si="43"/>
        <v>3615.630000000002</v>
      </c>
      <c r="J336" s="41"/>
      <c r="N336" s="56">
        <f ca="1" t="shared" si="44"/>
        <v>1</v>
      </c>
      <c r="O336" s="57">
        <f t="shared" si="45"/>
        <v>4</v>
      </c>
      <c r="P336" s="58">
        <f ca="1" t="shared" si="46"/>
        <v>2043</v>
      </c>
      <c r="R336" s="56">
        <f t="shared" si="37"/>
        <v>4</v>
      </c>
      <c r="S336" s="57" t="str">
        <f t="shared" si="47"/>
        <v/>
      </c>
      <c r="T336" s="58" t="str">
        <f t="shared" si="48"/>
        <v/>
      </c>
    </row>
    <row r="337" spans="2:20" s="7" customFormat="1" ht="12.75">
      <c r="B337" s="42"/>
      <c r="C337" s="89">
        <f t="shared" si="40"/>
        <v>296</v>
      </c>
      <c r="D337" s="90">
        <f ca="1" t="shared" si="41"/>
        <v>52352</v>
      </c>
      <c r="E337" s="71">
        <f t="shared" si="42"/>
        <v>3615.630000000002</v>
      </c>
      <c r="F337" s="71">
        <f>IF(E337="","",IF(Annuitätenrechner!$F$37&gt;=E337,E337+ROUND(E337*Annuitätenrechner!$E$21/Annuitätenrechner!$O$27,2),Annuitätenrechner!$F$37))</f>
        <v>583.33</v>
      </c>
      <c r="G337" s="71">
        <f>IF(E337="","",+ROUND(E337*Annuitätenrechner!$E$21/Annuitätenrechner!$O$27,2))</f>
        <v>15.07</v>
      </c>
      <c r="H337" s="71">
        <f>IF(E337="","",IF(Annuitätenrechner!$F$37-G337&lt;=E337,Annuitätenrechner!$F$37-G337,E337))</f>
        <v>568.26</v>
      </c>
      <c r="I337" s="91">
        <f t="shared" si="43"/>
        <v>3047.3700000000017</v>
      </c>
      <c r="J337" s="41"/>
      <c r="N337" s="56">
        <f ca="1" t="shared" si="44"/>
        <v>1</v>
      </c>
      <c r="O337" s="57">
        <f t="shared" si="45"/>
        <v>5</v>
      </c>
      <c r="P337" s="58">
        <f ca="1" t="shared" si="46"/>
        <v>2043</v>
      </c>
      <c r="R337" s="56">
        <f t="shared" si="37"/>
        <v>5</v>
      </c>
      <c r="S337" s="57" t="str">
        <f t="shared" si="47"/>
        <v/>
      </c>
      <c r="T337" s="58" t="str">
        <f t="shared" si="48"/>
        <v/>
      </c>
    </row>
    <row r="338" spans="2:20" s="7" customFormat="1" ht="12.75">
      <c r="B338" s="42"/>
      <c r="C338" s="89">
        <f t="shared" si="40"/>
        <v>297</v>
      </c>
      <c r="D338" s="90">
        <f ca="1" t="shared" si="41"/>
        <v>52383</v>
      </c>
      <c r="E338" s="71">
        <f t="shared" si="42"/>
        <v>3047.3700000000017</v>
      </c>
      <c r="F338" s="71">
        <f>IF(E338="","",IF(Annuitätenrechner!$F$37&gt;=E338,E338+ROUND(E338*Annuitätenrechner!$E$21/Annuitätenrechner!$O$27,2),Annuitätenrechner!$F$37))</f>
        <v>583.33</v>
      </c>
      <c r="G338" s="71">
        <f>IF(E338="","",+ROUND(E338*Annuitätenrechner!$E$21/Annuitätenrechner!$O$27,2))</f>
        <v>12.7</v>
      </c>
      <c r="H338" s="71">
        <f>IF(E338="","",IF(Annuitätenrechner!$F$37-G338&lt;=E338,Annuitätenrechner!$F$37-G338,E338))</f>
        <v>570.63</v>
      </c>
      <c r="I338" s="91">
        <f t="shared" si="43"/>
        <v>2476.7400000000016</v>
      </c>
      <c r="J338" s="41"/>
      <c r="N338" s="56">
        <f ca="1" t="shared" si="44"/>
        <v>1</v>
      </c>
      <c r="O338" s="57">
        <f t="shared" si="45"/>
        <v>6</v>
      </c>
      <c r="P338" s="58">
        <f ca="1" t="shared" si="46"/>
        <v>2043</v>
      </c>
      <c r="R338" s="56">
        <f t="shared" si="37"/>
        <v>6</v>
      </c>
      <c r="S338" s="57" t="str">
        <f t="shared" si="47"/>
        <v/>
      </c>
      <c r="T338" s="58" t="str">
        <f t="shared" si="48"/>
        <v/>
      </c>
    </row>
    <row r="339" spans="2:20" s="7" customFormat="1" ht="12.75">
      <c r="B339" s="42"/>
      <c r="C339" s="89">
        <f t="shared" si="40"/>
        <v>298</v>
      </c>
      <c r="D339" s="90">
        <f ca="1" t="shared" si="41"/>
        <v>52413</v>
      </c>
      <c r="E339" s="71">
        <f t="shared" si="42"/>
        <v>2476.7400000000016</v>
      </c>
      <c r="F339" s="71">
        <f>IF(E339="","",IF(Annuitätenrechner!$F$37&gt;=E339,E339+ROUND(E339*Annuitätenrechner!$E$21/Annuitätenrechner!$O$27,2),Annuitätenrechner!$F$37))</f>
        <v>583.33</v>
      </c>
      <c r="G339" s="71">
        <f>IF(E339="","",+ROUND(E339*Annuitätenrechner!$E$21/Annuitätenrechner!$O$27,2))</f>
        <v>10.32</v>
      </c>
      <c r="H339" s="71">
        <f>IF(E339="","",IF(Annuitätenrechner!$F$37-G339&lt;=E339,Annuitätenrechner!$F$37-G339,E339))</f>
        <v>573.01</v>
      </c>
      <c r="I339" s="91">
        <f t="shared" si="43"/>
        <v>1903.7300000000016</v>
      </c>
      <c r="J339" s="41"/>
      <c r="N339" s="56">
        <f ca="1" t="shared" si="44"/>
        <v>1</v>
      </c>
      <c r="O339" s="57">
        <f t="shared" si="45"/>
        <v>7</v>
      </c>
      <c r="P339" s="58">
        <f ca="1" t="shared" si="46"/>
        <v>2043</v>
      </c>
      <c r="R339" s="56">
        <f t="shared" si="37"/>
        <v>7</v>
      </c>
      <c r="S339" s="57" t="str">
        <f t="shared" si="47"/>
        <v/>
      </c>
      <c r="T339" s="58" t="str">
        <f t="shared" si="48"/>
        <v/>
      </c>
    </row>
    <row r="340" spans="2:20" s="7" customFormat="1" ht="12.75">
      <c r="B340" s="42"/>
      <c r="C340" s="89">
        <f t="shared" si="40"/>
        <v>299</v>
      </c>
      <c r="D340" s="90">
        <f ca="1" t="shared" si="41"/>
        <v>52444</v>
      </c>
      <c r="E340" s="71">
        <f t="shared" si="42"/>
        <v>1903.7300000000016</v>
      </c>
      <c r="F340" s="71">
        <f>IF(E340="","",IF(Annuitätenrechner!$F$37&gt;=E340,E340+ROUND(E340*Annuitätenrechner!$E$21/Annuitätenrechner!$O$27,2),Annuitätenrechner!$F$37))</f>
        <v>583.33</v>
      </c>
      <c r="G340" s="71">
        <f>IF(E340="","",+ROUND(E340*Annuitätenrechner!$E$21/Annuitätenrechner!$O$27,2))</f>
        <v>7.93</v>
      </c>
      <c r="H340" s="71">
        <f>IF(E340="","",IF(Annuitätenrechner!$F$37-G340&lt;=E340,Annuitätenrechner!$F$37-G340,E340))</f>
        <v>575.4000000000001</v>
      </c>
      <c r="I340" s="91">
        <f t="shared" si="43"/>
        <v>1328.3300000000015</v>
      </c>
      <c r="J340" s="41"/>
      <c r="N340" s="56">
        <f ca="1" t="shared" si="44"/>
        <v>1</v>
      </c>
      <c r="O340" s="57">
        <f t="shared" si="45"/>
        <v>8</v>
      </c>
      <c r="P340" s="58">
        <f ca="1" t="shared" si="46"/>
        <v>2043</v>
      </c>
      <c r="R340" s="56">
        <f t="shared" si="37"/>
        <v>8</v>
      </c>
      <c r="S340" s="57" t="str">
        <f t="shared" si="47"/>
        <v/>
      </c>
      <c r="T340" s="58" t="str">
        <f t="shared" si="48"/>
        <v/>
      </c>
    </row>
    <row r="341" spans="2:20" s="7" customFormat="1" ht="12.75">
      <c r="B341" s="42"/>
      <c r="C341" s="89">
        <f t="shared" si="40"/>
        <v>300</v>
      </c>
      <c r="D341" s="90">
        <f ca="1" t="shared" si="41"/>
        <v>52475</v>
      </c>
      <c r="E341" s="71">
        <f t="shared" si="42"/>
        <v>1328.3300000000015</v>
      </c>
      <c r="F341" s="71">
        <f>IF(E341="","",IF(Annuitätenrechner!$F$37&gt;=E341,E341+ROUND(E341*Annuitätenrechner!$E$21/Annuitätenrechner!$O$27,2),Annuitätenrechner!$F$37))</f>
        <v>583.33</v>
      </c>
      <c r="G341" s="71">
        <f>IF(E341="","",+ROUND(E341*Annuitätenrechner!$E$21/Annuitätenrechner!$O$27,2))</f>
        <v>5.53</v>
      </c>
      <c r="H341" s="71">
        <f>IF(E341="","",IF(Annuitätenrechner!$F$37-G341&lt;=E341,Annuitätenrechner!$F$37-G341,E341))</f>
        <v>577.8000000000001</v>
      </c>
      <c r="I341" s="91">
        <f t="shared" si="43"/>
        <v>750.5300000000015</v>
      </c>
      <c r="J341" s="41"/>
      <c r="N341" s="56">
        <f ca="1" t="shared" si="44"/>
        <v>1</v>
      </c>
      <c r="O341" s="57">
        <f t="shared" si="45"/>
        <v>9</v>
      </c>
      <c r="P341" s="58">
        <f ca="1" t="shared" si="46"/>
        <v>2043</v>
      </c>
      <c r="R341" s="56">
        <f t="shared" si="37"/>
        <v>9</v>
      </c>
      <c r="S341" s="57" t="str">
        <f t="shared" si="47"/>
        <v/>
      </c>
      <c r="T341" s="58" t="str">
        <f t="shared" si="48"/>
        <v/>
      </c>
    </row>
    <row r="342" spans="2:20" s="7" customFormat="1" ht="12.75">
      <c r="B342" s="42"/>
      <c r="C342" s="89">
        <f t="shared" si="40"/>
        <v>301</v>
      </c>
      <c r="D342" s="90">
        <f ca="1" t="shared" si="41"/>
        <v>52505</v>
      </c>
      <c r="E342" s="71">
        <f t="shared" si="42"/>
        <v>750.5300000000015</v>
      </c>
      <c r="F342" s="71">
        <f>IF(E342="","",IF(Annuitätenrechner!$F$37&gt;=E342,E342+ROUND(E342*Annuitätenrechner!$E$21/Annuitätenrechner!$O$27,2),Annuitätenrechner!$F$37))</f>
        <v>583.33</v>
      </c>
      <c r="G342" s="71">
        <f>IF(E342="","",+ROUND(E342*Annuitätenrechner!$E$21/Annuitätenrechner!$O$27,2))</f>
        <v>3.13</v>
      </c>
      <c r="H342" s="71">
        <f>IF(E342="","",IF(Annuitätenrechner!$F$37-G342&lt;=E342,Annuitätenrechner!$F$37-G342,E342))</f>
        <v>580.2</v>
      </c>
      <c r="I342" s="91">
        <f t="shared" si="43"/>
        <v>170.3300000000014</v>
      </c>
      <c r="J342" s="41"/>
      <c r="N342" s="56">
        <f ca="1" t="shared" si="44"/>
        <v>1</v>
      </c>
      <c r="O342" s="57">
        <f t="shared" si="45"/>
        <v>10</v>
      </c>
      <c r="P342" s="58">
        <f ca="1" t="shared" si="46"/>
        <v>2043</v>
      </c>
      <c r="R342" s="56">
        <f t="shared" si="37"/>
        <v>10</v>
      </c>
      <c r="S342" s="57" t="str">
        <f t="shared" si="47"/>
        <v/>
      </c>
      <c r="T342" s="58" t="str">
        <f t="shared" si="48"/>
        <v/>
      </c>
    </row>
    <row r="343" spans="2:20" s="7" customFormat="1" ht="12.75">
      <c r="B343" s="42"/>
      <c r="C343" s="89">
        <f aca="true" t="shared" si="49" ref="C343:C382">+IF(E343="","",C342+1)</f>
        <v>302</v>
      </c>
      <c r="D343" s="90">
        <f aca="true" t="shared" si="50" ref="D343:D382">IF(OR(I342="",I342=0),"",DATE(P343,O343,N343))</f>
        <v>52536</v>
      </c>
      <c r="E343" s="71">
        <f aca="true" t="shared" si="51" ref="E343:E382">IF(OR(I342=0,I342=""),"",I342)</f>
        <v>170.3300000000014</v>
      </c>
      <c r="F343" s="71">
        <f>IF(E343="","",IF(Annuitätenrechner!$F$37&gt;=E343,E343+ROUND(E343*Annuitätenrechner!$E$21/Annuitätenrechner!$O$27,2),Annuitätenrechner!$F$37))</f>
        <v>171.0400000000014</v>
      </c>
      <c r="G343" s="71">
        <f>IF(E343="","",+ROUND(E343*Annuitätenrechner!$E$21/Annuitätenrechner!$O$27,2))</f>
        <v>0.71</v>
      </c>
      <c r="H343" s="71">
        <f>IF(E343="","",IF(Annuitätenrechner!$F$37-G343&lt;=E343,Annuitätenrechner!$F$37-G343,E343))</f>
        <v>170.3300000000014</v>
      </c>
      <c r="I343" s="91">
        <f aca="true" t="shared" si="52" ref="I343:I382">IF(OR(I342="",I342=0),"",E343-H343)</f>
        <v>0</v>
      </c>
      <c r="J343" s="41"/>
      <c r="N343" s="56">
        <f aca="true" t="shared" si="53" ref="N343:N382">+N342</f>
        <v>1</v>
      </c>
      <c r="O343" s="57">
        <f aca="true" t="shared" si="54" ref="O343:O382">+IF(R343&lt;&gt;"",R343,IF(S343&lt;&gt;"",S343,T343))</f>
        <v>11</v>
      </c>
      <c r="P343" s="58">
        <f aca="true" t="shared" si="55" ref="P343:P382">+IF(O343&lt;O342,P342+1,P342)</f>
        <v>2043</v>
      </c>
      <c r="R343" s="56">
        <f t="shared" si="37"/>
        <v>11</v>
      </c>
      <c r="S343" s="57" t="str">
        <f aca="true" t="shared" si="56" ref="S343:S382">+IF(AND(S$40=4,$O$40=4),IF($O342&gt;=10,O342+3-12,$O342+3),"")</f>
        <v/>
      </c>
      <c r="T343" s="58" t="str">
        <f aca="true" t="shared" si="57" ref="T343:T382">+IF(AND(T$40=1,$O$40=1),O342,"")</f>
        <v/>
      </c>
    </row>
    <row r="344" spans="2:20" s="7" customFormat="1" ht="12.75">
      <c r="B344" s="42"/>
      <c r="C344" s="89" t="str">
        <f t="shared" si="49"/>
        <v/>
      </c>
      <c r="D344" s="90" t="str">
        <f t="shared" si="50"/>
        <v/>
      </c>
      <c r="E344" s="71" t="str">
        <f t="shared" si="51"/>
        <v/>
      </c>
      <c r="F344" s="71" t="str">
        <f>IF(E344="","",IF(Annuitätenrechner!$F$37&gt;=E344,E344+ROUND(E344*Annuitätenrechner!$E$21/Annuitätenrechner!$O$27,2),Annuitätenrechner!$F$37))</f>
        <v/>
      </c>
      <c r="G344" s="71" t="str">
        <f>IF(E344="","",+ROUND(E344*Annuitätenrechner!$E$21/Annuitätenrechner!$O$27,2))</f>
        <v/>
      </c>
      <c r="H344" s="71" t="str">
        <f>IF(E344="","",IF(Annuitätenrechner!$F$37-G344&lt;=E344,Annuitätenrechner!$F$37-G344,E344))</f>
        <v/>
      </c>
      <c r="I344" s="91" t="str">
        <f t="shared" si="52"/>
        <v/>
      </c>
      <c r="J344" s="41"/>
      <c r="N344" s="56">
        <f ca="1" t="shared" si="53"/>
        <v>1</v>
      </c>
      <c r="O344" s="57">
        <f t="shared" si="54"/>
        <v>12</v>
      </c>
      <c r="P344" s="58">
        <f ca="1" t="shared" si="55"/>
        <v>2043</v>
      </c>
      <c r="R344" s="56">
        <f t="shared" si="37"/>
        <v>12</v>
      </c>
      <c r="S344" s="57" t="str">
        <f t="shared" si="56"/>
        <v/>
      </c>
      <c r="T344" s="58" t="str">
        <f t="shared" si="57"/>
        <v/>
      </c>
    </row>
    <row r="345" spans="2:20" s="7" customFormat="1" ht="12.75">
      <c r="B345" s="42"/>
      <c r="C345" s="89" t="str">
        <f t="shared" si="49"/>
        <v/>
      </c>
      <c r="D345" s="90" t="str">
        <f t="shared" si="50"/>
        <v/>
      </c>
      <c r="E345" s="71" t="str">
        <f t="shared" si="51"/>
        <v/>
      </c>
      <c r="F345" s="71" t="str">
        <f>IF(E345="","",IF(Annuitätenrechner!$F$37&gt;=E345,E345+ROUND(E345*Annuitätenrechner!$E$21/Annuitätenrechner!$O$27,2),Annuitätenrechner!$F$37))</f>
        <v/>
      </c>
      <c r="G345" s="71" t="str">
        <f>IF(E345="","",+ROUND(E345*Annuitätenrechner!$E$21/Annuitätenrechner!$O$27,2))</f>
        <v/>
      </c>
      <c r="H345" s="71" t="str">
        <f>IF(E345="","",IF(Annuitätenrechner!$F$37-G345&lt;=E345,Annuitätenrechner!$F$37-G345,E345))</f>
        <v/>
      </c>
      <c r="I345" s="91" t="str">
        <f t="shared" si="52"/>
        <v/>
      </c>
      <c r="J345" s="41"/>
      <c r="N345" s="56">
        <f ca="1" t="shared" si="53"/>
        <v>1</v>
      </c>
      <c r="O345" s="57">
        <f t="shared" si="54"/>
        <v>1</v>
      </c>
      <c r="P345" s="58">
        <f ca="1" t="shared" si="55"/>
        <v>2044</v>
      </c>
      <c r="R345" s="56">
        <f t="shared" si="37"/>
        <v>1</v>
      </c>
      <c r="S345" s="57" t="str">
        <f t="shared" si="56"/>
        <v/>
      </c>
      <c r="T345" s="58" t="str">
        <f t="shared" si="57"/>
        <v/>
      </c>
    </row>
    <row r="346" spans="2:20" s="7" customFormat="1" ht="12.75">
      <c r="B346" s="42"/>
      <c r="C346" s="89" t="str">
        <f t="shared" si="49"/>
        <v/>
      </c>
      <c r="D346" s="90" t="str">
        <f t="shared" si="50"/>
        <v/>
      </c>
      <c r="E346" s="71" t="str">
        <f t="shared" si="51"/>
        <v/>
      </c>
      <c r="F346" s="71" t="str">
        <f>IF(E346="","",IF(Annuitätenrechner!$F$37&gt;=E346,E346+ROUND(E346*Annuitätenrechner!$E$21/Annuitätenrechner!$O$27,2),Annuitätenrechner!$F$37))</f>
        <v/>
      </c>
      <c r="G346" s="71" t="str">
        <f>IF(E346="","",+ROUND(E346*Annuitätenrechner!$E$21/Annuitätenrechner!$O$27,2))</f>
        <v/>
      </c>
      <c r="H346" s="71" t="str">
        <f>IF(E346="","",IF(Annuitätenrechner!$F$37-G346&lt;=E346,Annuitätenrechner!$F$37-G346,E346))</f>
        <v/>
      </c>
      <c r="I346" s="91" t="str">
        <f t="shared" si="52"/>
        <v/>
      </c>
      <c r="J346" s="41"/>
      <c r="N346" s="56">
        <f ca="1" t="shared" si="53"/>
        <v>1</v>
      </c>
      <c r="O346" s="57">
        <f t="shared" si="54"/>
        <v>2</v>
      </c>
      <c r="P346" s="58">
        <f ca="1" t="shared" si="55"/>
        <v>2044</v>
      </c>
      <c r="R346" s="56">
        <f t="shared" si="37"/>
        <v>2</v>
      </c>
      <c r="S346" s="57" t="str">
        <f t="shared" si="56"/>
        <v/>
      </c>
      <c r="T346" s="58" t="str">
        <f t="shared" si="57"/>
        <v/>
      </c>
    </row>
    <row r="347" spans="2:20" s="7" customFormat="1" ht="12.75">
      <c r="B347" s="42"/>
      <c r="C347" s="89" t="str">
        <f t="shared" si="49"/>
        <v/>
      </c>
      <c r="D347" s="90" t="str">
        <f t="shared" si="50"/>
        <v/>
      </c>
      <c r="E347" s="71" t="str">
        <f t="shared" si="51"/>
        <v/>
      </c>
      <c r="F347" s="71" t="str">
        <f>IF(E347="","",IF(Annuitätenrechner!$F$37&gt;=E347,E347+ROUND(E347*Annuitätenrechner!$E$21/Annuitätenrechner!$O$27,2),Annuitätenrechner!$F$37))</f>
        <v/>
      </c>
      <c r="G347" s="71" t="str">
        <f>IF(E347="","",+ROUND(E347*Annuitätenrechner!$E$21/Annuitätenrechner!$O$27,2))</f>
        <v/>
      </c>
      <c r="H347" s="71" t="str">
        <f>IF(E347="","",IF(Annuitätenrechner!$F$37-G347&lt;=E347,Annuitätenrechner!$F$37-G347,E347))</f>
        <v/>
      </c>
      <c r="I347" s="91" t="str">
        <f t="shared" si="52"/>
        <v/>
      </c>
      <c r="J347" s="41"/>
      <c r="N347" s="56">
        <f ca="1" t="shared" si="53"/>
        <v>1</v>
      </c>
      <c r="O347" s="57">
        <f t="shared" si="54"/>
        <v>3</v>
      </c>
      <c r="P347" s="58">
        <f ca="1" t="shared" si="55"/>
        <v>2044</v>
      </c>
      <c r="R347" s="56">
        <f t="shared" si="37"/>
        <v>3</v>
      </c>
      <c r="S347" s="57" t="str">
        <f t="shared" si="56"/>
        <v/>
      </c>
      <c r="T347" s="58" t="str">
        <f t="shared" si="57"/>
        <v/>
      </c>
    </row>
    <row r="348" spans="2:20" s="7" customFormat="1" ht="12.75">
      <c r="B348" s="42"/>
      <c r="C348" s="89" t="str">
        <f t="shared" si="49"/>
        <v/>
      </c>
      <c r="D348" s="90" t="str">
        <f t="shared" si="50"/>
        <v/>
      </c>
      <c r="E348" s="71" t="str">
        <f t="shared" si="51"/>
        <v/>
      </c>
      <c r="F348" s="71" t="str">
        <f>IF(E348="","",IF(Annuitätenrechner!$F$37&gt;=E348,E348+ROUND(E348*Annuitätenrechner!$E$21/Annuitätenrechner!$O$27,2),Annuitätenrechner!$F$37))</f>
        <v/>
      </c>
      <c r="G348" s="71" t="str">
        <f>IF(E348="","",+ROUND(E348*Annuitätenrechner!$E$21/Annuitätenrechner!$O$27,2))</f>
        <v/>
      </c>
      <c r="H348" s="71" t="str">
        <f>IF(E348="","",IF(Annuitätenrechner!$F$37-G348&lt;=E348,Annuitätenrechner!$F$37-G348,E348))</f>
        <v/>
      </c>
      <c r="I348" s="91" t="str">
        <f t="shared" si="52"/>
        <v/>
      </c>
      <c r="J348" s="41"/>
      <c r="N348" s="56">
        <f ca="1" t="shared" si="53"/>
        <v>1</v>
      </c>
      <c r="O348" s="57">
        <f t="shared" si="54"/>
        <v>4</v>
      </c>
      <c r="P348" s="58">
        <f ca="1" t="shared" si="55"/>
        <v>2044</v>
      </c>
      <c r="R348" s="56">
        <f t="shared" si="37"/>
        <v>4</v>
      </c>
      <c r="S348" s="57" t="str">
        <f t="shared" si="56"/>
        <v/>
      </c>
      <c r="T348" s="58" t="str">
        <f t="shared" si="57"/>
        <v/>
      </c>
    </row>
    <row r="349" spans="2:20" s="7" customFormat="1" ht="12.75">
      <c r="B349" s="42"/>
      <c r="C349" s="89" t="str">
        <f t="shared" si="49"/>
        <v/>
      </c>
      <c r="D349" s="90" t="str">
        <f t="shared" si="50"/>
        <v/>
      </c>
      <c r="E349" s="71" t="str">
        <f t="shared" si="51"/>
        <v/>
      </c>
      <c r="F349" s="71" t="str">
        <f>IF(E349="","",IF(Annuitätenrechner!$F$37&gt;=E349,E349+ROUND(E349*Annuitätenrechner!$E$21/Annuitätenrechner!$O$27,2),Annuitätenrechner!$F$37))</f>
        <v/>
      </c>
      <c r="G349" s="71" t="str">
        <f>IF(E349="","",+ROUND(E349*Annuitätenrechner!$E$21/Annuitätenrechner!$O$27,2))</f>
        <v/>
      </c>
      <c r="H349" s="71" t="str">
        <f>IF(E349="","",IF(Annuitätenrechner!$F$37-G349&lt;=E349,Annuitätenrechner!$F$37-G349,E349))</f>
        <v/>
      </c>
      <c r="I349" s="91" t="str">
        <f t="shared" si="52"/>
        <v/>
      </c>
      <c r="J349" s="41"/>
      <c r="N349" s="56">
        <f ca="1" t="shared" si="53"/>
        <v>1</v>
      </c>
      <c r="O349" s="57">
        <f t="shared" si="54"/>
        <v>5</v>
      </c>
      <c r="P349" s="58">
        <f ca="1" t="shared" si="55"/>
        <v>2044</v>
      </c>
      <c r="R349" s="56">
        <f t="shared" si="37"/>
        <v>5</v>
      </c>
      <c r="S349" s="57" t="str">
        <f t="shared" si="56"/>
        <v/>
      </c>
      <c r="T349" s="58" t="str">
        <f t="shared" si="57"/>
        <v/>
      </c>
    </row>
    <row r="350" spans="2:20" s="7" customFormat="1" ht="12.75">
      <c r="B350" s="42"/>
      <c r="C350" s="89" t="str">
        <f t="shared" si="49"/>
        <v/>
      </c>
      <c r="D350" s="90" t="str">
        <f t="shared" si="50"/>
        <v/>
      </c>
      <c r="E350" s="71" t="str">
        <f t="shared" si="51"/>
        <v/>
      </c>
      <c r="F350" s="71" t="str">
        <f>IF(E350="","",IF(Annuitätenrechner!$F$37&gt;=E350,E350+ROUND(E350*Annuitätenrechner!$E$21/Annuitätenrechner!$O$27,2),Annuitätenrechner!$F$37))</f>
        <v/>
      </c>
      <c r="G350" s="71" t="str">
        <f>IF(E350="","",+ROUND(E350*Annuitätenrechner!$E$21/Annuitätenrechner!$O$27,2))</f>
        <v/>
      </c>
      <c r="H350" s="71" t="str">
        <f>IF(E350="","",IF(Annuitätenrechner!$F$37-G350&lt;=E350,Annuitätenrechner!$F$37-G350,E350))</f>
        <v/>
      </c>
      <c r="I350" s="91" t="str">
        <f t="shared" si="52"/>
        <v/>
      </c>
      <c r="J350" s="41"/>
      <c r="N350" s="56">
        <f ca="1" t="shared" si="53"/>
        <v>1</v>
      </c>
      <c r="O350" s="57">
        <f t="shared" si="54"/>
        <v>6</v>
      </c>
      <c r="P350" s="58">
        <f ca="1" t="shared" si="55"/>
        <v>2044</v>
      </c>
      <c r="R350" s="56">
        <f t="shared" si="37"/>
        <v>6</v>
      </c>
      <c r="S350" s="57" t="str">
        <f t="shared" si="56"/>
        <v/>
      </c>
      <c r="T350" s="58" t="str">
        <f t="shared" si="57"/>
        <v/>
      </c>
    </row>
    <row r="351" spans="2:20" s="7" customFormat="1" ht="12.75">
      <c r="B351" s="42"/>
      <c r="C351" s="89" t="str">
        <f t="shared" si="49"/>
        <v/>
      </c>
      <c r="D351" s="90" t="str">
        <f t="shared" si="50"/>
        <v/>
      </c>
      <c r="E351" s="71" t="str">
        <f t="shared" si="51"/>
        <v/>
      </c>
      <c r="F351" s="71" t="str">
        <f>IF(E351="","",IF(Annuitätenrechner!$F$37&gt;=E351,E351+ROUND(E351*Annuitätenrechner!$E$21/Annuitätenrechner!$O$27,2),Annuitätenrechner!$F$37))</f>
        <v/>
      </c>
      <c r="G351" s="71" t="str">
        <f>IF(E351="","",+ROUND(E351*Annuitätenrechner!$E$21/Annuitätenrechner!$O$27,2))</f>
        <v/>
      </c>
      <c r="H351" s="71" t="str">
        <f>IF(E351="","",IF(Annuitätenrechner!$F$37-G351&lt;=E351,Annuitätenrechner!$F$37-G351,E351))</f>
        <v/>
      </c>
      <c r="I351" s="91" t="str">
        <f t="shared" si="52"/>
        <v/>
      </c>
      <c r="J351" s="41"/>
      <c r="N351" s="56">
        <f ca="1" t="shared" si="53"/>
        <v>1</v>
      </c>
      <c r="O351" s="57">
        <f t="shared" si="54"/>
        <v>7</v>
      </c>
      <c r="P351" s="58">
        <f ca="1" t="shared" si="55"/>
        <v>2044</v>
      </c>
      <c r="R351" s="56">
        <f t="shared" si="37"/>
        <v>7</v>
      </c>
      <c r="S351" s="57" t="str">
        <f t="shared" si="56"/>
        <v/>
      </c>
      <c r="T351" s="58" t="str">
        <f t="shared" si="57"/>
        <v/>
      </c>
    </row>
    <row r="352" spans="2:20" s="7" customFormat="1" ht="12.75">
      <c r="B352" s="42"/>
      <c r="C352" s="89" t="str">
        <f t="shared" si="49"/>
        <v/>
      </c>
      <c r="D352" s="90" t="str">
        <f t="shared" si="50"/>
        <v/>
      </c>
      <c r="E352" s="71" t="str">
        <f t="shared" si="51"/>
        <v/>
      </c>
      <c r="F352" s="71" t="str">
        <f>IF(E352="","",IF(Annuitätenrechner!$F$37&gt;=E352,E352+ROUND(E352*Annuitätenrechner!$E$21/Annuitätenrechner!$O$27,2),Annuitätenrechner!$F$37))</f>
        <v/>
      </c>
      <c r="G352" s="71" t="str">
        <f>IF(E352="","",+ROUND(E352*Annuitätenrechner!$E$21/Annuitätenrechner!$O$27,2))</f>
        <v/>
      </c>
      <c r="H352" s="71" t="str">
        <f>IF(E352="","",IF(Annuitätenrechner!$F$37-G352&lt;=E352,Annuitätenrechner!$F$37-G352,E352))</f>
        <v/>
      </c>
      <c r="I352" s="91" t="str">
        <f t="shared" si="52"/>
        <v/>
      </c>
      <c r="J352" s="41"/>
      <c r="N352" s="56">
        <f ca="1" t="shared" si="53"/>
        <v>1</v>
      </c>
      <c r="O352" s="57">
        <f t="shared" si="54"/>
        <v>8</v>
      </c>
      <c r="P352" s="58">
        <f ca="1" t="shared" si="55"/>
        <v>2044</v>
      </c>
      <c r="R352" s="56">
        <f t="shared" si="37"/>
        <v>8</v>
      </c>
      <c r="S352" s="57" t="str">
        <f t="shared" si="56"/>
        <v/>
      </c>
      <c r="T352" s="58" t="str">
        <f t="shared" si="57"/>
        <v/>
      </c>
    </row>
    <row r="353" spans="2:20" s="7" customFormat="1" ht="12.75">
      <c r="B353" s="42"/>
      <c r="C353" s="89" t="str">
        <f t="shared" si="49"/>
        <v/>
      </c>
      <c r="D353" s="90" t="str">
        <f t="shared" si="50"/>
        <v/>
      </c>
      <c r="E353" s="71" t="str">
        <f t="shared" si="51"/>
        <v/>
      </c>
      <c r="F353" s="71" t="str">
        <f>IF(E353="","",IF(Annuitätenrechner!$F$37&gt;=E353,E353+ROUND(E353*Annuitätenrechner!$E$21/Annuitätenrechner!$O$27,2),Annuitätenrechner!$F$37))</f>
        <v/>
      </c>
      <c r="G353" s="71" t="str">
        <f>IF(E353="","",+ROUND(E353*Annuitätenrechner!$E$21/Annuitätenrechner!$O$27,2))</f>
        <v/>
      </c>
      <c r="H353" s="71" t="str">
        <f>IF(E353="","",IF(Annuitätenrechner!$F$37-G353&lt;=E353,Annuitätenrechner!$F$37-G353,E353))</f>
        <v/>
      </c>
      <c r="I353" s="91" t="str">
        <f t="shared" si="52"/>
        <v/>
      </c>
      <c r="J353" s="41"/>
      <c r="N353" s="56">
        <f ca="1" t="shared" si="53"/>
        <v>1</v>
      </c>
      <c r="O353" s="57">
        <f t="shared" si="54"/>
        <v>9</v>
      </c>
      <c r="P353" s="58">
        <f ca="1" t="shared" si="55"/>
        <v>2044</v>
      </c>
      <c r="R353" s="56">
        <f t="shared" si="37"/>
        <v>9</v>
      </c>
      <c r="S353" s="57" t="str">
        <f t="shared" si="56"/>
        <v/>
      </c>
      <c r="T353" s="58" t="str">
        <f t="shared" si="57"/>
        <v/>
      </c>
    </row>
    <row r="354" spans="2:20" s="7" customFormat="1" ht="12.75">
      <c r="B354" s="42"/>
      <c r="C354" s="89" t="str">
        <f t="shared" si="49"/>
        <v/>
      </c>
      <c r="D354" s="90" t="str">
        <f t="shared" si="50"/>
        <v/>
      </c>
      <c r="E354" s="71" t="str">
        <f t="shared" si="51"/>
        <v/>
      </c>
      <c r="F354" s="71" t="str">
        <f>IF(E354="","",IF(Annuitätenrechner!$F$37&gt;=E354,E354+ROUND(E354*Annuitätenrechner!$E$21/Annuitätenrechner!$O$27,2),Annuitätenrechner!$F$37))</f>
        <v/>
      </c>
      <c r="G354" s="71" t="str">
        <f>IF(E354="","",+ROUND(E354*Annuitätenrechner!$E$21/Annuitätenrechner!$O$27,2))</f>
        <v/>
      </c>
      <c r="H354" s="71" t="str">
        <f>IF(E354="","",IF(Annuitätenrechner!$F$37-G354&lt;=E354,Annuitätenrechner!$F$37-G354,E354))</f>
        <v/>
      </c>
      <c r="I354" s="91" t="str">
        <f t="shared" si="52"/>
        <v/>
      </c>
      <c r="J354" s="41"/>
      <c r="N354" s="56">
        <f ca="1" t="shared" si="53"/>
        <v>1</v>
      </c>
      <c r="O354" s="57">
        <f t="shared" si="54"/>
        <v>10</v>
      </c>
      <c r="P354" s="58">
        <f ca="1" t="shared" si="55"/>
        <v>2044</v>
      </c>
      <c r="R354" s="56">
        <f t="shared" si="37"/>
        <v>10</v>
      </c>
      <c r="S354" s="57" t="str">
        <f t="shared" si="56"/>
        <v/>
      </c>
      <c r="T354" s="58" t="str">
        <f t="shared" si="57"/>
        <v/>
      </c>
    </row>
    <row r="355" spans="2:20" s="7" customFormat="1" ht="12.75">
      <c r="B355" s="42"/>
      <c r="C355" s="89" t="str">
        <f t="shared" si="49"/>
        <v/>
      </c>
      <c r="D355" s="90" t="str">
        <f t="shared" si="50"/>
        <v/>
      </c>
      <c r="E355" s="71" t="str">
        <f t="shared" si="51"/>
        <v/>
      </c>
      <c r="F355" s="71" t="str">
        <f>IF(E355="","",IF(Annuitätenrechner!$F$37&gt;=E355,E355+ROUND(E355*Annuitätenrechner!$E$21/Annuitätenrechner!$O$27,2),Annuitätenrechner!$F$37))</f>
        <v/>
      </c>
      <c r="G355" s="71" t="str">
        <f>IF(E355="","",+ROUND(E355*Annuitätenrechner!$E$21/Annuitätenrechner!$O$27,2))</f>
        <v/>
      </c>
      <c r="H355" s="71" t="str">
        <f>IF(E355="","",IF(Annuitätenrechner!$F$37-G355&lt;=E355,Annuitätenrechner!$F$37-G355,E355))</f>
        <v/>
      </c>
      <c r="I355" s="91" t="str">
        <f t="shared" si="52"/>
        <v/>
      </c>
      <c r="J355" s="41"/>
      <c r="N355" s="56">
        <f ca="1" t="shared" si="53"/>
        <v>1</v>
      </c>
      <c r="O355" s="57">
        <f t="shared" si="54"/>
        <v>11</v>
      </c>
      <c r="P355" s="58">
        <f ca="1" t="shared" si="55"/>
        <v>2044</v>
      </c>
      <c r="R355" s="56">
        <f t="shared" si="37"/>
        <v>11</v>
      </c>
      <c r="S355" s="57" t="str">
        <f t="shared" si="56"/>
        <v/>
      </c>
      <c r="T355" s="58" t="str">
        <f t="shared" si="57"/>
        <v/>
      </c>
    </row>
    <row r="356" spans="2:20" s="7" customFormat="1" ht="12.75">
      <c r="B356" s="42"/>
      <c r="C356" s="89" t="str">
        <f t="shared" si="49"/>
        <v/>
      </c>
      <c r="D356" s="90" t="str">
        <f t="shared" si="50"/>
        <v/>
      </c>
      <c r="E356" s="71" t="str">
        <f t="shared" si="51"/>
        <v/>
      </c>
      <c r="F356" s="71" t="str">
        <f>IF(E356="","",IF(Annuitätenrechner!$F$37&gt;=E356,E356+ROUND(E356*Annuitätenrechner!$E$21/Annuitätenrechner!$O$27,2),Annuitätenrechner!$F$37))</f>
        <v/>
      </c>
      <c r="G356" s="71" t="str">
        <f>IF(E356="","",+ROUND(E356*Annuitätenrechner!$E$21/Annuitätenrechner!$O$27,2))</f>
        <v/>
      </c>
      <c r="H356" s="71" t="str">
        <f>IF(E356="","",IF(Annuitätenrechner!$F$37-G356&lt;=E356,Annuitätenrechner!$F$37-G356,E356))</f>
        <v/>
      </c>
      <c r="I356" s="91" t="str">
        <f t="shared" si="52"/>
        <v/>
      </c>
      <c r="J356" s="41"/>
      <c r="N356" s="56">
        <f ca="1" t="shared" si="53"/>
        <v>1</v>
      </c>
      <c r="O356" s="57">
        <f t="shared" si="54"/>
        <v>12</v>
      </c>
      <c r="P356" s="58">
        <f ca="1" t="shared" si="55"/>
        <v>2044</v>
      </c>
      <c r="R356" s="56">
        <f t="shared" si="37"/>
        <v>12</v>
      </c>
      <c r="S356" s="57" t="str">
        <f t="shared" si="56"/>
        <v/>
      </c>
      <c r="T356" s="58" t="str">
        <f t="shared" si="57"/>
        <v/>
      </c>
    </row>
    <row r="357" spans="2:20" s="7" customFormat="1" ht="12.75">
      <c r="B357" s="42"/>
      <c r="C357" s="89" t="str">
        <f t="shared" si="49"/>
        <v/>
      </c>
      <c r="D357" s="90" t="str">
        <f t="shared" si="50"/>
        <v/>
      </c>
      <c r="E357" s="71" t="str">
        <f t="shared" si="51"/>
        <v/>
      </c>
      <c r="F357" s="71" t="str">
        <f>IF(E357="","",IF(Annuitätenrechner!$F$37&gt;=E357,E357+ROUND(E357*Annuitätenrechner!$E$21/Annuitätenrechner!$O$27,2),Annuitätenrechner!$F$37))</f>
        <v/>
      </c>
      <c r="G357" s="71" t="str">
        <f>IF(E357="","",+ROUND(E357*Annuitätenrechner!$E$21/Annuitätenrechner!$O$27,2))</f>
        <v/>
      </c>
      <c r="H357" s="71" t="str">
        <f>IF(E357="","",IF(Annuitätenrechner!$F$37-G357&lt;=E357,Annuitätenrechner!$F$37-G357,E357))</f>
        <v/>
      </c>
      <c r="I357" s="91" t="str">
        <f t="shared" si="52"/>
        <v/>
      </c>
      <c r="J357" s="41"/>
      <c r="N357" s="56">
        <f ca="1" t="shared" si="53"/>
        <v>1</v>
      </c>
      <c r="O357" s="57">
        <f t="shared" si="54"/>
        <v>1</v>
      </c>
      <c r="P357" s="58">
        <f ca="1" t="shared" si="55"/>
        <v>2045</v>
      </c>
      <c r="R357" s="56">
        <f t="shared" si="37"/>
        <v>1</v>
      </c>
      <c r="S357" s="57" t="str">
        <f t="shared" si="56"/>
        <v/>
      </c>
      <c r="T357" s="58" t="str">
        <f t="shared" si="57"/>
        <v/>
      </c>
    </row>
    <row r="358" spans="2:20" s="7" customFormat="1" ht="12.75">
      <c r="B358" s="42"/>
      <c r="C358" s="89" t="str">
        <f t="shared" si="49"/>
        <v/>
      </c>
      <c r="D358" s="90" t="str">
        <f t="shared" si="50"/>
        <v/>
      </c>
      <c r="E358" s="71" t="str">
        <f t="shared" si="51"/>
        <v/>
      </c>
      <c r="F358" s="71" t="str">
        <f>IF(E358="","",IF(Annuitätenrechner!$F$37&gt;=E358,E358+ROUND(E358*Annuitätenrechner!$E$21/Annuitätenrechner!$O$27,2),Annuitätenrechner!$F$37))</f>
        <v/>
      </c>
      <c r="G358" s="71" t="str">
        <f>IF(E358="","",+ROUND(E358*Annuitätenrechner!$E$21/Annuitätenrechner!$O$27,2))</f>
        <v/>
      </c>
      <c r="H358" s="71" t="str">
        <f>IF(E358="","",IF(Annuitätenrechner!$F$37-G358&lt;=E358,Annuitätenrechner!$F$37-G358,E358))</f>
        <v/>
      </c>
      <c r="I358" s="91" t="str">
        <f t="shared" si="52"/>
        <v/>
      </c>
      <c r="J358" s="41"/>
      <c r="N358" s="56">
        <f ca="1" t="shared" si="53"/>
        <v>1</v>
      </c>
      <c r="O358" s="57">
        <f t="shared" si="54"/>
        <v>2</v>
      </c>
      <c r="P358" s="58">
        <f ca="1" t="shared" si="55"/>
        <v>2045</v>
      </c>
      <c r="R358" s="56">
        <f t="shared" si="37"/>
        <v>2</v>
      </c>
      <c r="S358" s="57" t="str">
        <f t="shared" si="56"/>
        <v/>
      </c>
      <c r="T358" s="58" t="str">
        <f t="shared" si="57"/>
        <v/>
      </c>
    </row>
    <row r="359" spans="2:20" s="7" customFormat="1" ht="12.75">
      <c r="B359" s="42"/>
      <c r="C359" s="89" t="str">
        <f t="shared" si="49"/>
        <v/>
      </c>
      <c r="D359" s="90" t="str">
        <f t="shared" si="50"/>
        <v/>
      </c>
      <c r="E359" s="71" t="str">
        <f t="shared" si="51"/>
        <v/>
      </c>
      <c r="F359" s="71" t="str">
        <f>IF(E359="","",IF(Annuitätenrechner!$F$37&gt;=E359,E359+ROUND(E359*Annuitätenrechner!$E$21/Annuitätenrechner!$O$27,2),Annuitätenrechner!$F$37))</f>
        <v/>
      </c>
      <c r="G359" s="71" t="str">
        <f>IF(E359="","",+ROUND(E359*Annuitätenrechner!$E$21/Annuitätenrechner!$O$27,2))</f>
        <v/>
      </c>
      <c r="H359" s="71" t="str">
        <f>IF(E359="","",IF(Annuitätenrechner!$F$37-G359&lt;=E359,Annuitätenrechner!$F$37-G359,E359))</f>
        <v/>
      </c>
      <c r="I359" s="91" t="str">
        <f t="shared" si="52"/>
        <v/>
      </c>
      <c r="J359" s="41"/>
      <c r="N359" s="56">
        <f ca="1" t="shared" si="53"/>
        <v>1</v>
      </c>
      <c r="O359" s="57">
        <f t="shared" si="54"/>
        <v>3</v>
      </c>
      <c r="P359" s="58">
        <f ca="1" t="shared" si="55"/>
        <v>2045</v>
      </c>
      <c r="R359" s="56">
        <f t="shared" si="37"/>
        <v>3</v>
      </c>
      <c r="S359" s="57" t="str">
        <f t="shared" si="56"/>
        <v/>
      </c>
      <c r="T359" s="58" t="str">
        <f t="shared" si="57"/>
        <v/>
      </c>
    </row>
    <row r="360" spans="2:20" s="7" customFormat="1" ht="12.75">
      <c r="B360" s="42"/>
      <c r="C360" s="89" t="str">
        <f t="shared" si="49"/>
        <v/>
      </c>
      <c r="D360" s="90" t="str">
        <f t="shared" si="50"/>
        <v/>
      </c>
      <c r="E360" s="71" t="str">
        <f t="shared" si="51"/>
        <v/>
      </c>
      <c r="F360" s="71" t="str">
        <f>IF(E360="","",IF(Annuitätenrechner!$F$37&gt;=E360,E360+ROUND(E360*Annuitätenrechner!$E$21/Annuitätenrechner!$O$27,2),Annuitätenrechner!$F$37))</f>
        <v/>
      </c>
      <c r="G360" s="71" t="str">
        <f>IF(E360="","",+ROUND(E360*Annuitätenrechner!$E$21/Annuitätenrechner!$O$27,2))</f>
        <v/>
      </c>
      <c r="H360" s="71" t="str">
        <f>IF(E360="","",IF(Annuitätenrechner!$F$37-G360&lt;=E360,Annuitätenrechner!$F$37-G360,E360))</f>
        <v/>
      </c>
      <c r="I360" s="91" t="str">
        <f t="shared" si="52"/>
        <v/>
      </c>
      <c r="J360" s="41"/>
      <c r="N360" s="56">
        <f ca="1" t="shared" si="53"/>
        <v>1</v>
      </c>
      <c r="O360" s="57">
        <f t="shared" si="54"/>
        <v>4</v>
      </c>
      <c r="P360" s="58">
        <f ca="1" t="shared" si="55"/>
        <v>2045</v>
      </c>
      <c r="R360" s="56">
        <f t="shared" si="37"/>
        <v>4</v>
      </c>
      <c r="S360" s="57" t="str">
        <f t="shared" si="56"/>
        <v/>
      </c>
      <c r="T360" s="58" t="str">
        <f t="shared" si="57"/>
        <v/>
      </c>
    </row>
    <row r="361" spans="2:20" s="7" customFormat="1" ht="12.75">
      <c r="B361" s="42"/>
      <c r="C361" s="89" t="str">
        <f t="shared" si="49"/>
        <v/>
      </c>
      <c r="D361" s="90" t="str">
        <f t="shared" si="50"/>
        <v/>
      </c>
      <c r="E361" s="71" t="str">
        <f t="shared" si="51"/>
        <v/>
      </c>
      <c r="F361" s="71" t="str">
        <f>IF(E361="","",IF(Annuitätenrechner!$F$37&gt;=E361,E361+ROUND(E361*Annuitätenrechner!$E$21/Annuitätenrechner!$O$27,2),Annuitätenrechner!$F$37))</f>
        <v/>
      </c>
      <c r="G361" s="71" t="str">
        <f>IF(E361="","",+ROUND(E361*Annuitätenrechner!$E$21/Annuitätenrechner!$O$27,2))</f>
        <v/>
      </c>
      <c r="H361" s="71" t="str">
        <f>IF(E361="","",IF(Annuitätenrechner!$F$37-G361&lt;=E361,Annuitätenrechner!$F$37-G361,E361))</f>
        <v/>
      </c>
      <c r="I361" s="91" t="str">
        <f t="shared" si="52"/>
        <v/>
      </c>
      <c r="J361" s="41"/>
      <c r="N361" s="56">
        <f ca="1" t="shared" si="53"/>
        <v>1</v>
      </c>
      <c r="O361" s="57">
        <f t="shared" si="54"/>
        <v>5</v>
      </c>
      <c r="P361" s="58">
        <f ca="1" t="shared" si="55"/>
        <v>2045</v>
      </c>
      <c r="R361" s="56">
        <f t="shared" si="37"/>
        <v>5</v>
      </c>
      <c r="S361" s="57" t="str">
        <f t="shared" si="56"/>
        <v/>
      </c>
      <c r="T361" s="58" t="str">
        <f t="shared" si="57"/>
        <v/>
      </c>
    </row>
    <row r="362" spans="2:20" s="7" customFormat="1" ht="12.75">
      <c r="B362" s="42"/>
      <c r="C362" s="89" t="str">
        <f t="shared" si="49"/>
        <v/>
      </c>
      <c r="D362" s="90" t="str">
        <f t="shared" si="50"/>
        <v/>
      </c>
      <c r="E362" s="71" t="str">
        <f t="shared" si="51"/>
        <v/>
      </c>
      <c r="F362" s="71" t="str">
        <f>IF(E362="","",IF(Annuitätenrechner!$F$37&gt;=E362,E362+ROUND(E362*Annuitätenrechner!$E$21/Annuitätenrechner!$O$27,2),Annuitätenrechner!$F$37))</f>
        <v/>
      </c>
      <c r="G362" s="71" t="str">
        <f>IF(E362="","",+ROUND(E362*Annuitätenrechner!$E$21/Annuitätenrechner!$O$27,2))</f>
        <v/>
      </c>
      <c r="H362" s="71" t="str">
        <f>IF(E362="","",IF(Annuitätenrechner!$F$37-G362&lt;=E362,Annuitätenrechner!$F$37-G362,E362))</f>
        <v/>
      </c>
      <c r="I362" s="91" t="str">
        <f t="shared" si="52"/>
        <v/>
      </c>
      <c r="J362" s="41"/>
      <c r="N362" s="56">
        <f ca="1" t="shared" si="53"/>
        <v>1</v>
      </c>
      <c r="O362" s="57">
        <f t="shared" si="54"/>
        <v>6</v>
      </c>
      <c r="P362" s="58">
        <f ca="1" t="shared" si="55"/>
        <v>2045</v>
      </c>
      <c r="R362" s="56">
        <f t="shared" si="37"/>
        <v>6</v>
      </c>
      <c r="S362" s="57" t="str">
        <f t="shared" si="56"/>
        <v/>
      </c>
      <c r="T362" s="58" t="str">
        <f t="shared" si="57"/>
        <v/>
      </c>
    </row>
    <row r="363" spans="2:20" s="7" customFormat="1" ht="12.75">
      <c r="B363" s="42"/>
      <c r="C363" s="89" t="str">
        <f t="shared" si="49"/>
        <v/>
      </c>
      <c r="D363" s="90" t="str">
        <f t="shared" si="50"/>
        <v/>
      </c>
      <c r="E363" s="71" t="str">
        <f t="shared" si="51"/>
        <v/>
      </c>
      <c r="F363" s="71" t="str">
        <f>IF(E363="","",IF(Annuitätenrechner!$F$37&gt;=E363,E363+ROUND(E363*Annuitätenrechner!$E$21/Annuitätenrechner!$O$27,2),Annuitätenrechner!$F$37))</f>
        <v/>
      </c>
      <c r="G363" s="71" t="str">
        <f>IF(E363="","",+ROUND(E363*Annuitätenrechner!$E$21/Annuitätenrechner!$O$27,2))</f>
        <v/>
      </c>
      <c r="H363" s="71" t="str">
        <f>IF(E363="","",IF(Annuitätenrechner!$F$37-G363&lt;=E363,Annuitätenrechner!$F$37-G363,E363))</f>
        <v/>
      </c>
      <c r="I363" s="91" t="str">
        <f t="shared" si="52"/>
        <v/>
      </c>
      <c r="J363" s="41"/>
      <c r="N363" s="56">
        <f ca="1" t="shared" si="53"/>
        <v>1</v>
      </c>
      <c r="O363" s="57">
        <f t="shared" si="54"/>
        <v>7</v>
      </c>
      <c r="P363" s="58">
        <f ca="1" t="shared" si="55"/>
        <v>2045</v>
      </c>
      <c r="R363" s="56">
        <f t="shared" si="37"/>
        <v>7</v>
      </c>
      <c r="S363" s="57" t="str">
        <f t="shared" si="56"/>
        <v/>
      </c>
      <c r="T363" s="58" t="str">
        <f t="shared" si="57"/>
        <v/>
      </c>
    </row>
    <row r="364" spans="2:20" s="7" customFormat="1" ht="12.75">
      <c r="B364" s="42"/>
      <c r="C364" s="89" t="str">
        <f t="shared" si="49"/>
        <v/>
      </c>
      <c r="D364" s="90" t="str">
        <f t="shared" si="50"/>
        <v/>
      </c>
      <c r="E364" s="71" t="str">
        <f t="shared" si="51"/>
        <v/>
      </c>
      <c r="F364" s="71" t="str">
        <f>IF(E364="","",IF(Annuitätenrechner!$F$37&gt;=E364,E364+ROUND(E364*Annuitätenrechner!$E$21/Annuitätenrechner!$O$27,2),Annuitätenrechner!$F$37))</f>
        <v/>
      </c>
      <c r="G364" s="71" t="str">
        <f>IF(E364="","",+ROUND(E364*Annuitätenrechner!$E$21/Annuitätenrechner!$O$27,2))</f>
        <v/>
      </c>
      <c r="H364" s="71" t="str">
        <f>IF(E364="","",IF(Annuitätenrechner!$F$37-G364&lt;=E364,Annuitätenrechner!$F$37-G364,E364))</f>
        <v/>
      </c>
      <c r="I364" s="91" t="str">
        <f t="shared" si="52"/>
        <v/>
      </c>
      <c r="J364" s="41"/>
      <c r="N364" s="56">
        <f ca="1" t="shared" si="53"/>
        <v>1</v>
      </c>
      <c r="O364" s="57">
        <f t="shared" si="54"/>
        <v>8</v>
      </c>
      <c r="P364" s="58">
        <f ca="1" t="shared" si="55"/>
        <v>2045</v>
      </c>
      <c r="R364" s="56">
        <f t="shared" si="37"/>
        <v>8</v>
      </c>
      <c r="S364" s="57" t="str">
        <f t="shared" si="56"/>
        <v/>
      </c>
      <c r="T364" s="58" t="str">
        <f t="shared" si="57"/>
        <v/>
      </c>
    </row>
    <row r="365" spans="2:20" s="7" customFormat="1" ht="12.75">
      <c r="B365" s="42"/>
      <c r="C365" s="89" t="str">
        <f t="shared" si="49"/>
        <v/>
      </c>
      <c r="D365" s="90" t="str">
        <f t="shared" si="50"/>
        <v/>
      </c>
      <c r="E365" s="71" t="str">
        <f t="shared" si="51"/>
        <v/>
      </c>
      <c r="F365" s="71" t="str">
        <f>IF(E365="","",IF(Annuitätenrechner!$F$37&gt;=E365,E365+ROUND(E365*Annuitätenrechner!$E$21/Annuitätenrechner!$O$27,2),Annuitätenrechner!$F$37))</f>
        <v/>
      </c>
      <c r="G365" s="71" t="str">
        <f>IF(E365="","",+ROUND(E365*Annuitätenrechner!$E$21/Annuitätenrechner!$O$27,2))</f>
        <v/>
      </c>
      <c r="H365" s="71" t="str">
        <f>IF(E365="","",IF(Annuitätenrechner!$F$37-G365&lt;=E365,Annuitätenrechner!$F$37-G365,E365))</f>
        <v/>
      </c>
      <c r="I365" s="91" t="str">
        <f t="shared" si="52"/>
        <v/>
      </c>
      <c r="J365" s="41"/>
      <c r="N365" s="56">
        <f ca="1" t="shared" si="53"/>
        <v>1</v>
      </c>
      <c r="O365" s="57">
        <f t="shared" si="54"/>
        <v>9</v>
      </c>
      <c r="P365" s="58">
        <f ca="1" t="shared" si="55"/>
        <v>2045</v>
      </c>
      <c r="R365" s="56">
        <f t="shared" si="37"/>
        <v>9</v>
      </c>
      <c r="S365" s="57" t="str">
        <f t="shared" si="56"/>
        <v/>
      </c>
      <c r="T365" s="58" t="str">
        <f t="shared" si="57"/>
        <v/>
      </c>
    </row>
    <row r="366" spans="2:20" s="7" customFormat="1" ht="12.75">
      <c r="B366" s="42"/>
      <c r="C366" s="89" t="str">
        <f t="shared" si="49"/>
        <v/>
      </c>
      <c r="D366" s="90" t="str">
        <f t="shared" si="50"/>
        <v/>
      </c>
      <c r="E366" s="71" t="str">
        <f t="shared" si="51"/>
        <v/>
      </c>
      <c r="F366" s="71" t="str">
        <f>IF(E366="","",IF(Annuitätenrechner!$F$37&gt;=E366,E366+ROUND(E366*Annuitätenrechner!$E$21/Annuitätenrechner!$O$27,2),Annuitätenrechner!$F$37))</f>
        <v/>
      </c>
      <c r="G366" s="71" t="str">
        <f>IF(E366="","",+ROUND(E366*Annuitätenrechner!$E$21/Annuitätenrechner!$O$27,2))</f>
        <v/>
      </c>
      <c r="H366" s="71" t="str">
        <f>IF(E366="","",IF(Annuitätenrechner!$F$37-G366&lt;=E366,Annuitätenrechner!$F$37-G366,E366))</f>
        <v/>
      </c>
      <c r="I366" s="91" t="str">
        <f t="shared" si="52"/>
        <v/>
      </c>
      <c r="J366" s="41"/>
      <c r="N366" s="56">
        <f ca="1" t="shared" si="53"/>
        <v>1</v>
      </c>
      <c r="O366" s="57">
        <f t="shared" si="54"/>
        <v>10</v>
      </c>
      <c r="P366" s="58">
        <f ca="1" t="shared" si="55"/>
        <v>2045</v>
      </c>
      <c r="R366" s="56">
        <f t="shared" si="37"/>
        <v>10</v>
      </c>
      <c r="S366" s="57" t="str">
        <f t="shared" si="56"/>
        <v/>
      </c>
      <c r="T366" s="58" t="str">
        <f t="shared" si="57"/>
        <v/>
      </c>
    </row>
    <row r="367" spans="2:20" s="7" customFormat="1" ht="12.75">
      <c r="B367" s="42"/>
      <c r="C367" s="89" t="str">
        <f t="shared" si="49"/>
        <v/>
      </c>
      <c r="D367" s="90" t="str">
        <f t="shared" si="50"/>
        <v/>
      </c>
      <c r="E367" s="71" t="str">
        <f t="shared" si="51"/>
        <v/>
      </c>
      <c r="F367" s="71" t="str">
        <f>IF(E367="","",IF(Annuitätenrechner!$F$37&gt;=E367,E367+ROUND(E367*Annuitätenrechner!$E$21/Annuitätenrechner!$O$27,2),Annuitätenrechner!$F$37))</f>
        <v/>
      </c>
      <c r="G367" s="71" t="str">
        <f>IF(E367="","",+ROUND(E367*Annuitätenrechner!$E$21/Annuitätenrechner!$O$27,2))</f>
        <v/>
      </c>
      <c r="H367" s="71" t="str">
        <f>IF(E367="","",IF(Annuitätenrechner!$F$37-G367&lt;=E367,Annuitätenrechner!$F$37-G367,E367))</f>
        <v/>
      </c>
      <c r="I367" s="91" t="str">
        <f t="shared" si="52"/>
        <v/>
      </c>
      <c r="J367" s="41"/>
      <c r="N367" s="56">
        <f ca="1" t="shared" si="53"/>
        <v>1</v>
      </c>
      <c r="O367" s="57">
        <f t="shared" si="54"/>
        <v>11</v>
      </c>
      <c r="P367" s="58">
        <f ca="1" t="shared" si="55"/>
        <v>2045</v>
      </c>
      <c r="R367" s="56">
        <f t="shared" si="37"/>
        <v>11</v>
      </c>
      <c r="S367" s="57" t="str">
        <f t="shared" si="56"/>
        <v/>
      </c>
      <c r="T367" s="58" t="str">
        <f t="shared" si="57"/>
        <v/>
      </c>
    </row>
    <row r="368" spans="2:20" s="7" customFormat="1" ht="12.75">
      <c r="B368" s="42"/>
      <c r="C368" s="89" t="str">
        <f t="shared" si="49"/>
        <v/>
      </c>
      <c r="D368" s="90" t="str">
        <f t="shared" si="50"/>
        <v/>
      </c>
      <c r="E368" s="71" t="str">
        <f t="shared" si="51"/>
        <v/>
      </c>
      <c r="F368" s="71" t="str">
        <f>IF(E368="","",IF(Annuitätenrechner!$F$37&gt;=E368,E368+ROUND(E368*Annuitätenrechner!$E$21/Annuitätenrechner!$O$27,2),Annuitätenrechner!$F$37))</f>
        <v/>
      </c>
      <c r="G368" s="71" t="str">
        <f>IF(E368="","",+ROUND(E368*Annuitätenrechner!$E$21/Annuitätenrechner!$O$27,2))</f>
        <v/>
      </c>
      <c r="H368" s="71" t="str">
        <f>IF(E368="","",IF(Annuitätenrechner!$F$37-G368&lt;=E368,Annuitätenrechner!$F$37-G368,E368))</f>
        <v/>
      </c>
      <c r="I368" s="91" t="str">
        <f t="shared" si="52"/>
        <v/>
      </c>
      <c r="J368" s="41"/>
      <c r="N368" s="56">
        <f ca="1" t="shared" si="53"/>
        <v>1</v>
      </c>
      <c r="O368" s="57">
        <f t="shared" si="54"/>
        <v>12</v>
      </c>
      <c r="P368" s="58">
        <f ca="1" t="shared" si="55"/>
        <v>2045</v>
      </c>
      <c r="R368" s="56">
        <f aca="true" t="shared" si="58" ref="R368:R382">+IF(AND(R$40=12,$O$40=12),IF($O367=12,1,$O367+1),"")</f>
        <v>12</v>
      </c>
      <c r="S368" s="57" t="str">
        <f t="shared" si="56"/>
        <v/>
      </c>
      <c r="T368" s="58" t="str">
        <f t="shared" si="57"/>
        <v/>
      </c>
    </row>
    <row r="369" spans="2:20" s="7" customFormat="1" ht="12.75">
      <c r="B369" s="42"/>
      <c r="C369" s="89" t="str">
        <f t="shared" si="49"/>
        <v/>
      </c>
      <c r="D369" s="90" t="str">
        <f t="shared" si="50"/>
        <v/>
      </c>
      <c r="E369" s="71" t="str">
        <f t="shared" si="51"/>
        <v/>
      </c>
      <c r="F369" s="71" t="str">
        <f>IF(E369="","",IF(Annuitätenrechner!$F$37&gt;=E369,E369+ROUND(E369*Annuitätenrechner!$E$21/Annuitätenrechner!$O$27,2),Annuitätenrechner!$F$37))</f>
        <v/>
      </c>
      <c r="G369" s="71" t="str">
        <f>IF(E369="","",+ROUND(E369*Annuitätenrechner!$E$21/Annuitätenrechner!$O$27,2))</f>
        <v/>
      </c>
      <c r="H369" s="71" t="str">
        <f>IF(E369="","",IF(Annuitätenrechner!$F$37-G369&lt;=E369,Annuitätenrechner!$F$37-G369,E369))</f>
        <v/>
      </c>
      <c r="I369" s="91" t="str">
        <f t="shared" si="52"/>
        <v/>
      </c>
      <c r="J369" s="41"/>
      <c r="N369" s="56">
        <f ca="1" t="shared" si="53"/>
        <v>1</v>
      </c>
      <c r="O369" s="57">
        <f t="shared" si="54"/>
        <v>1</v>
      </c>
      <c r="P369" s="58">
        <f ca="1" t="shared" si="55"/>
        <v>2046</v>
      </c>
      <c r="R369" s="56">
        <f t="shared" si="58"/>
        <v>1</v>
      </c>
      <c r="S369" s="57" t="str">
        <f t="shared" si="56"/>
        <v/>
      </c>
      <c r="T369" s="58" t="str">
        <f t="shared" si="57"/>
        <v/>
      </c>
    </row>
    <row r="370" spans="2:20" s="7" customFormat="1" ht="12.75">
      <c r="B370" s="42"/>
      <c r="C370" s="89" t="str">
        <f t="shared" si="49"/>
        <v/>
      </c>
      <c r="D370" s="90" t="str">
        <f t="shared" si="50"/>
        <v/>
      </c>
      <c r="E370" s="71" t="str">
        <f t="shared" si="51"/>
        <v/>
      </c>
      <c r="F370" s="71" t="str">
        <f>IF(E370="","",IF(Annuitätenrechner!$F$37&gt;=E370,E370+ROUND(E370*Annuitätenrechner!$E$21/Annuitätenrechner!$O$27,2),Annuitätenrechner!$F$37))</f>
        <v/>
      </c>
      <c r="G370" s="71" t="str">
        <f>IF(E370="","",+ROUND(E370*Annuitätenrechner!$E$21/Annuitätenrechner!$O$27,2))</f>
        <v/>
      </c>
      <c r="H370" s="71" t="str">
        <f>IF(E370="","",IF(Annuitätenrechner!$F$37-G370&lt;=E370,Annuitätenrechner!$F$37-G370,E370))</f>
        <v/>
      </c>
      <c r="I370" s="91" t="str">
        <f t="shared" si="52"/>
        <v/>
      </c>
      <c r="J370" s="41"/>
      <c r="N370" s="56">
        <f ca="1" t="shared" si="53"/>
        <v>1</v>
      </c>
      <c r="O370" s="57">
        <f t="shared" si="54"/>
        <v>2</v>
      </c>
      <c r="P370" s="58">
        <f ca="1" t="shared" si="55"/>
        <v>2046</v>
      </c>
      <c r="R370" s="56">
        <f t="shared" si="58"/>
        <v>2</v>
      </c>
      <c r="S370" s="57" t="str">
        <f t="shared" si="56"/>
        <v/>
      </c>
      <c r="T370" s="58" t="str">
        <f t="shared" si="57"/>
        <v/>
      </c>
    </row>
    <row r="371" spans="2:20" s="7" customFormat="1" ht="12.75">
      <c r="B371" s="42"/>
      <c r="C371" s="89" t="str">
        <f t="shared" si="49"/>
        <v/>
      </c>
      <c r="D371" s="90" t="str">
        <f t="shared" si="50"/>
        <v/>
      </c>
      <c r="E371" s="71" t="str">
        <f t="shared" si="51"/>
        <v/>
      </c>
      <c r="F371" s="71" t="str">
        <f>IF(E371="","",IF(Annuitätenrechner!$F$37&gt;=E371,E371+ROUND(E371*Annuitätenrechner!$E$21/Annuitätenrechner!$O$27,2),Annuitätenrechner!$F$37))</f>
        <v/>
      </c>
      <c r="G371" s="71" t="str">
        <f>IF(E371="","",+ROUND(E371*Annuitätenrechner!$E$21/Annuitätenrechner!$O$27,2))</f>
        <v/>
      </c>
      <c r="H371" s="71" t="str">
        <f>IF(E371="","",IF(Annuitätenrechner!$F$37-G371&lt;=E371,Annuitätenrechner!$F$37-G371,E371))</f>
        <v/>
      </c>
      <c r="I371" s="91" t="str">
        <f t="shared" si="52"/>
        <v/>
      </c>
      <c r="J371" s="41"/>
      <c r="N371" s="56">
        <f ca="1" t="shared" si="53"/>
        <v>1</v>
      </c>
      <c r="O371" s="57">
        <f t="shared" si="54"/>
        <v>3</v>
      </c>
      <c r="P371" s="58">
        <f ca="1" t="shared" si="55"/>
        <v>2046</v>
      </c>
      <c r="R371" s="56">
        <f t="shared" si="58"/>
        <v>3</v>
      </c>
      <c r="S371" s="57" t="str">
        <f t="shared" si="56"/>
        <v/>
      </c>
      <c r="T371" s="58" t="str">
        <f t="shared" si="57"/>
        <v/>
      </c>
    </row>
    <row r="372" spans="2:20" s="7" customFormat="1" ht="12.75">
      <c r="B372" s="42"/>
      <c r="C372" s="89" t="str">
        <f t="shared" si="49"/>
        <v/>
      </c>
      <c r="D372" s="90" t="str">
        <f t="shared" si="50"/>
        <v/>
      </c>
      <c r="E372" s="71" t="str">
        <f t="shared" si="51"/>
        <v/>
      </c>
      <c r="F372" s="71" t="str">
        <f>IF(E372="","",IF(Annuitätenrechner!$F$37&gt;=E372,E372+ROUND(E372*Annuitätenrechner!$E$21/Annuitätenrechner!$O$27,2),Annuitätenrechner!$F$37))</f>
        <v/>
      </c>
      <c r="G372" s="71" t="str">
        <f>IF(E372="","",+ROUND(E372*Annuitätenrechner!$E$21/Annuitätenrechner!$O$27,2))</f>
        <v/>
      </c>
      <c r="H372" s="71" t="str">
        <f>IF(E372="","",IF(Annuitätenrechner!$F$37-G372&lt;=E372,Annuitätenrechner!$F$37-G372,E372))</f>
        <v/>
      </c>
      <c r="I372" s="91" t="str">
        <f t="shared" si="52"/>
        <v/>
      </c>
      <c r="J372" s="41"/>
      <c r="N372" s="56">
        <f ca="1" t="shared" si="53"/>
        <v>1</v>
      </c>
      <c r="O372" s="57">
        <f t="shared" si="54"/>
        <v>4</v>
      </c>
      <c r="P372" s="58">
        <f ca="1" t="shared" si="55"/>
        <v>2046</v>
      </c>
      <c r="R372" s="56">
        <f t="shared" si="58"/>
        <v>4</v>
      </c>
      <c r="S372" s="57" t="str">
        <f t="shared" si="56"/>
        <v/>
      </c>
      <c r="T372" s="58" t="str">
        <f t="shared" si="57"/>
        <v/>
      </c>
    </row>
    <row r="373" spans="2:20" s="7" customFormat="1" ht="12.75">
      <c r="B373" s="42"/>
      <c r="C373" s="89" t="str">
        <f t="shared" si="49"/>
        <v/>
      </c>
      <c r="D373" s="90" t="str">
        <f t="shared" si="50"/>
        <v/>
      </c>
      <c r="E373" s="71" t="str">
        <f t="shared" si="51"/>
        <v/>
      </c>
      <c r="F373" s="71" t="str">
        <f>IF(E373="","",IF(Annuitätenrechner!$F$37&gt;=E373,E373+ROUND(E373*Annuitätenrechner!$E$21/Annuitätenrechner!$O$27,2),Annuitätenrechner!$F$37))</f>
        <v/>
      </c>
      <c r="G373" s="71" t="str">
        <f>IF(E373="","",+ROUND(E373*Annuitätenrechner!$E$21/Annuitätenrechner!$O$27,2))</f>
        <v/>
      </c>
      <c r="H373" s="71" t="str">
        <f>IF(E373="","",IF(Annuitätenrechner!$F$37-G373&lt;=E373,Annuitätenrechner!$F$37-G373,E373))</f>
        <v/>
      </c>
      <c r="I373" s="91" t="str">
        <f t="shared" si="52"/>
        <v/>
      </c>
      <c r="J373" s="41"/>
      <c r="N373" s="56">
        <f ca="1" t="shared" si="53"/>
        <v>1</v>
      </c>
      <c r="O373" s="57">
        <f t="shared" si="54"/>
        <v>5</v>
      </c>
      <c r="P373" s="58">
        <f ca="1" t="shared" si="55"/>
        <v>2046</v>
      </c>
      <c r="R373" s="56">
        <f t="shared" si="58"/>
        <v>5</v>
      </c>
      <c r="S373" s="57" t="str">
        <f t="shared" si="56"/>
        <v/>
      </c>
      <c r="T373" s="58" t="str">
        <f t="shared" si="57"/>
        <v/>
      </c>
    </row>
    <row r="374" spans="2:20" s="7" customFormat="1" ht="12.75">
      <c r="B374" s="42"/>
      <c r="C374" s="89" t="str">
        <f t="shared" si="49"/>
        <v/>
      </c>
      <c r="D374" s="90" t="str">
        <f t="shared" si="50"/>
        <v/>
      </c>
      <c r="E374" s="71" t="str">
        <f t="shared" si="51"/>
        <v/>
      </c>
      <c r="F374" s="71" t="str">
        <f>IF(E374="","",IF(Annuitätenrechner!$F$37&gt;=E374,E374+ROUND(E374*Annuitätenrechner!$E$21/Annuitätenrechner!$O$27,2),Annuitätenrechner!$F$37))</f>
        <v/>
      </c>
      <c r="G374" s="71" t="str">
        <f>IF(E374="","",+ROUND(E374*Annuitätenrechner!$E$21/Annuitätenrechner!$O$27,2))</f>
        <v/>
      </c>
      <c r="H374" s="71" t="str">
        <f>IF(E374="","",IF(Annuitätenrechner!$F$37-G374&lt;=E374,Annuitätenrechner!$F$37-G374,E374))</f>
        <v/>
      </c>
      <c r="I374" s="91" t="str">
        <f t="shared" si="52"/>
        <v/>
      </c>
      <c r="J374" s="41"/>
      <c r="N374" s="56">
        <f ca="1" t="shared" si="53"/>
        <v>1</v>
      </c>
      <c r="O374" s="57">
        <f t="shared" si="54"/>
        <v>6</v>
      </c>
      <c r="P374" s="58">
        <f ca="1" t="shared" si="55"/>
        <v>2046</v>
      </c>
      <c r="R374" s="56">
        <f t="shared" si="58"/>
        <v>6</v>
      </c>
      <c r="S374" s="57" t="str">
        <f t="shared" si="56"/>
        <v/>
      </c>
      <c r="T374" s="58" t="str">
        <f t="shared" si="57"/>
        <v/>
      </c>
    </row>
    <row r="375" spans="2:20" s="7" customFormat="1" ht="12.75">
      <c r="B375" s="42"/>
      <c r="C375" s="89" t="str">
        <f t="shared" si="49"/>
        <v/>
      </c>
      <c r="D375" s="90" t="str">
        <f t="shared" si="50"/>
        <v/>
      </c>
      <c r="E375" s="71" t="str">
        <f t="shared" si="51"/>
        <v/>
      </c>
      <c r="F375" s="71" t="str">
        <f>IF(E375="","",IF(Annuitätenrechner!$F$37&gt;=E375,E375+ROUND(E375*Annuitätenrechner!$E$21/Annuitätenrechner!$O$27,2),Annuitätenrechner!$F$37))</f>
        <v/>
      </c>
      <c r="G375" s="71" t="str">
        <f>IF(E375="","",+ROUND(E375*Annuitätenrechner!$E$21/Annuitätenrechner!$O$27,2))</f>
        <v/>
      </c>
      <c r="H375" s="71" t="str">
        <f>IF(E375="","",IF(Annuitätenrechner!$F$37-G375&lt;=E375,Annuitätenrechner!$F$37-G375,E375))</f>
        <v/>
      </c>
      <c r="I375" s="91" t="str">
        <f t="shared" si="52"/>
        <v/>
      </c>
      <c r="J375" s="41"/>
      <c r="N375" s="56">
        <f ca="1" t="shared" si="53"/>
        <v>1</v>
      </c>
      <c r="O375" s="57">
        <f t="shared" si="54"/>
        <v>7</v>
      </c>
      <c r="P375" s="58">
        <f ca="1" t="shared" si="55"/>
        <v>2046</v>
      </c>
      <c r="R375" s="56">
        <f t="shared" si="58"/>
        <v>7</v>
      </c>
      <c r="S375" s="57" t="str">
        <f t="shared" si="56"/>
        <v/>
      </c>
      <c r="T375" s="58" t="str">
        <f t="shared" si="57"/>
        <v/>
      </c>
    </row>
    <row r="376" spans="2:20" s="7" customFormat="1" ht="12.75">
      <c r="B376" s="42"/>
      <c r="C376" s="89" t="str">
        <f t="shared" si="49"/>
        <v/>
      </c>
      <c r="D376" s="90" t="str">
        <f t="shared" si="50"/>
        <v/>
      </c>
      <c r="E376" s="71" t="str">
        <f t="shared" si="51"/>
        <v/>
      </c>
      <c r="F376" s="71" t="str">
        <f>IF(E376="","",IF(Annuitätenrechner!$F$37&gt;=E376,E376+ROUND(E376*Annuitätenrechner!$E$21/Annuitätenrechner!$O$27,2),Annuitätenrechner!$F$37))</f>
        <v/>
      </c>
      <c r="G376" s="71" t="str">
        <f>IF(E376="","",+ROUND(E376*Annuitätenrechner!$E$21/Annuitätenrechner!$O$27,2))</f>
        <v/>
      </c>
      <c r="H376" s="71" t="str">
        <f>IF(E376="","",IF(Annuitätenrechner!$F$37-G376&lt;=E376,Annuitätenrechner!$F$37-G376,E376))</f>
        <v/>
      </c>
      <c r="I376" s="91" t="str">
        <f t="shared" si="52"/>
        <v/>
      </c>
      <c r="J376" s="41"/>
      <c r="N376" s="56">
        <f ca="1" t="shared" si="53"/>
        <v>1</v>
      </c>
      <c r="O376" s="57">
        <f t="shared" si="54"/>
        <v>8</v>
      </c>
      <c r="P376" s="58">
        <f ca="1" t="shared" si="55"/>
        <v>2046</v>
      </c>
      <c r="R376" s="56">
        <f t="shared" si="58"/>
        <v>8</v>
      </c>
      <c r="S376" s="57" t="str">
        <f t="shared" si="56"/>
        <v/>
      </c>
      <c r="T376" s="58" t="str">
        <f t="shared" si="57"/>
        <v/>
      </c>
    </row>
    <row r="377" spans="2:20" s="7" customFormat="1" ht="12.75">
      <c r="B377" s="42"/>
      <c r="C377" s="89" t="str">
        <f t="shared" si="49"/>
        <v/>
      </c>
      <c r="D377" s="90" t="str">
        <f t="shared" si="50"/>
        <v/>
      </c>
      <c r="E377" s="71" t="str">
        <f t="shared" si="51"/>
        <v/>
      </c>
      <c r="F377" s="71" t="str">
        <f>IF(E377="","",IF(Annuitätenrechner!$F$37&gt;=E377,E377+ROUND(E377*Annuitätenrechner!$E$21/Annuitätenrechner!$O$27,2),Annuitätenrechner!$F$37))</f>
        <v/>
      </c>
      <c r="G377" s="71" t="str">
        <f>IF(E377="","",+ROUND(E377*Annuitätenrechner!$E$21/Annuitätenrechner!$O$27,2))</f>
        <v/>
      </c>
      <c r="H377" s="71" t="str">
        <f>IF(E377="","",IF(Annuitätenrechner!$F$37-G377&lt;=E377,Annuitätenrechner!$F$37-G377,E377))</f>
        <v/>
      </c>
      <c r="I377" s="91" t="str">
        <f t="shared" si="52"/>
        <v/>
      </c>
      <c r="J377" s="41"/>
      <c r="N377" s="56">
        <f ca="1" t="shared" si="53"/>
        <v>1</v>
      </c>
      <c r="O377" s="57">
        <f t="shared" si="54"/>
        <v>9</v>
      </c>
      <c r="P377" s="58">
        <f ca="1" t="shared" si="55"/>
        <v>2046</v>
      </c>
      <c r="R377" s="56">
        <f t="shared" si="58"/>
        <v>9</v>
      </c>
      <c r="S377" s="57" t="str">
        <f t="shared" si="56"/>
        <v/>
      </c>
      <c r="T377" s="58" t="str">
        <f t="shared" si="57"/>
        <v/>
      </c>
    </row>
    <row r="378" spans="2:20" s="7" customFormat="1" ht="12.75">
      <c r="B378" s="42"/>
      <c r="C378" s="89" t="str">
        <f t="shared" si="49"/>
        <v/>
      </c>
      <c r="D378" s="90" t="str">
        <f t="shared" si="50"/>
        <v/>
      </c>
      <c r="E378" s="71" t="str">
        <f t="shared" si="51"/>
        <v/>
      </c>
      <c r="F378" s="71" t="str">
        <f>IF(E378="","",IF(Annuitätenrechner!$F$37&gt;=E378,E378+ROUND(E378*Annuitätenrechner!$E$21/Annuitätenrechner!$O$27,2),Annuitätenrechner!$F$37))</f>
        <v/>
      </c>
      <c r="G378" s="71" t="str">
        <f>IF(E378="","",+ROUND(E378*Annuitätenrechner!$E$21/Annuitätenrechner!$O$27,2))</f>
        <v/>
      </c>
      <c r="H378" s="71" t="str">
        <f>IF(E378="","",IF(Annuitätenrechner!$F$37-G378&lt;=E378,Annuitätenrechner!$F$37-G378,E378))</f>
        <v/>
      </c>
      <c r="I378" s="91" t="str">
        <f t="shared" si="52"/>
        <v/>
      </c>
      <c r="J378" s="41"/>
      <c r="N378" s="56">
        <f ca="1" t="shared" si="53"/>
        <v>1</v>
      </c>
      <c r="O378" s="57">
        <f t="shared" si="54"/>
        <v>10</v>
      </c>
      <c r="P378" s="58">
        <f ca="1" t="shared" si="55"/>
        <v>2046</v>
      </c>
      <c r="R378" s="56">
        <f t="shared" si="58"/>
        <v>10</v>
      </c>
      <c r="S378" s="57" t="str">
        <f t="shared" si="56"/>
        <v/>
      </c>
      <c r="T378" s="58" t="str">
        <f t="shared" si="57"/>
        <v/>
      </c>
    </row>
    <row r="379" spans="2:20" s="7" customFormat="1" ht="12.75">
      <c r="B379" s="42"/>
      <c r="C379" s="89" t="str">
        <f t="shared" si="49"/>
        <v/>
      </c>
      <c r="D379" s="90" t="str">
        <f t="shared" si="50"/>
        <v/>
      </c>
      <c r="E379" s="71" t="str">
        <f t="shared" si="51"/>
        <v/>
      </c>
      <c r="F379" s="71" t="str">
        <f>IF(E379="","",IF(Annuitätenrechner!$F$37&gt;=E379,E379+ROUND(E379*Annuitätenrechner!$E$21/Annuitätenrechner!$O$27,2),Annuitätenrechner!$F$37))</f>
        <v/>
      </c>
      <c r="G379" s="71" t="str">
        <f>IF(E379="","",+ROUND(E379*Annuitätenrechner!$E$21/Annuitätenrechner!$O$27,2))</f>
        <v/>
      </c>
      <c r="H379" s="71" t="str">
        <f>IF(E379="","",IF(Annuitätenrechner!$F$37-G379&lt;=E379,Annuitätenrechner!$F$37-G379,E379))</f>
        <v/>
      </c>
      <c r="I379" s="91" t="str">
        <f t="shared" si="52"/>
        <v/>
      </c>
      <c r="J379" s="41"/>
      <c r="N379" s="56">
        <f ca="1" t="shared" si="53"/>
        <v>1</v>
      </c>
      <c r="O379" s="57">
        <f t="shared" si="54"/>
        <v>11</v>
      </c>
      <c r="P379" s="58">
        <f ca="1" t="shared" si="55"/>
        <v>2046</v>
      </c>
      <c r="R379" s="56">
        <f t="shared" si="58"/>
        <v>11</v>
      </c>
      <c r="S379" s="57" t="str">
        <f t="shared" si="56"/>
        <v/>
      </c>
      <c r="T379" s="58" t="str">
        <f t="shared" si="57"/>
        <v/>
      </c>
    </row>
    <row r="380" spans="2:20" s="7" customFormat="1" ht="12.75">
      <c r="B380" s="42"/>
      <c r="C380" s="89" t="str">
        <f t="shared" si="49"/>
        <v/>
      </c>
      <c r="D380" s="90" t="str">
        <f t="shared" si="50"/>
        <v/>
      </c>
      <c r="E380" s="71" t="str">
        <f t="shared" si="51"/>
        <v/>
      </c>
      <c r="F380" s="71" t="str">
        <f>IF(E380="","",IF(Annuitätenrechner!$F$37&gt;=E380,E380+ROUND(E380*Annuitätenrechner!$E$21/Annuitätenrechner!$O$27,2),Annuitätenrechner!$F$37))</f>
        <v/>
      </c>
      <c r="G380" s="71" t="str">
        <f>IF(E380="","",+ROUND(E380*Annuitätenrechner!$E$21/Annuitätenrechner!$O$27,2))</f>
        <v/>
      </c>
      <c r="H380" s="71" t="str">
        <f>IF(E380="","",IF(Annuitätenrechner!$F$37-G380&lt;=E380,Annuitätenrechner!$F$37-G380,E380))</f>
        <v/>
      </c>
      <c r="I380" s="91" t="str">
        <f t="shared" si="52"/>
        <v/>
      </c>
      <c r="J380" s="41"/>
      <c r="N380" s="56">
        <f ca="1" t="shared" si="53"/>
        <v>1</v>
      </c>
      <c r="O380" s="57">
        <f t="shared" si="54"/>
        <v>12</v>
      </c>
      <c r="P380" s="58">
        <f ca="1" t="shared" si="55"/>
        <v>2046</v>
      </c>
      <c r="R380" s="56">
        <f t="shared" si="58"/>
        <v>12</v>
      </c>
      <c r="S380" s="57" t="str">
        <f t="shared" si="56"/>
        <v/>
      </c>
      <c r="T380" s="58" t="str">
        <f t="shared" si="57"/>
        <v/>
      </c>
    </row>
    <row r="381" spans="2:20" s="7" customFormat="1" ht="12.75">
      <c r="B381" s="42"/>
      <c r="C381" s="89" t="str">
        <f t="shared" si="49"/>
        <v/>
      </c>
      <c r="D381" s="90" t="str">
        <f t="shared" si="50"/>
        <v/>
      </c>
      <c r="E381" s="71" t="str">
        <f t="shared" si="51"/>
        <v/>
      </c>
      <c r="F381" s="71" t="str">
        <f>IF(E381="","",IF(Annuitätenrechner!$F$37&gt;=E381,E381+ROUND(E381*Annuitätenrechner!$E$21/Annuitätenrechner!$O$27,2),Annuitätenrechner!$F$37))</f>
        <v/>
      </c>
      <c r="G381" s="71" t="str">
        <f>IF(E381="","",+ROUND(E381*Annuitätenrechner!$E$21/Annuitätenrechner!$O$27,2))</f>
        <v/>
      </c>
      <c r="H381" s="71" t="str">
        <f>IF(E381="","",IF(Annuitätenrechner!$F$37-G381&lt;=E381,Annuitätenrechner!$F$37-G381,E381))</f>
        <v/>
      </c>
      <c r="I381" s="91" t="str">
        <f t="shared" si="52"/>
        <v/>
      </c>
      <c r="J381" s="41"/>
      <c r="N381" s="56">
        <f ca="1" t="shared" si="53"/>
        <v>1</v>
      </c>
      <c r="O381" s="57">
        <f t="shared" si="54"/>
        <v>1</v>
      </c>
      <c r="P381" s="58">
        <f ca="1" t="shared" si="55"/>
        <v>2047</v>
      </c>
      <c r="R381" s="56">
        <f t="shared" si="58"/>
        <v>1</v>
      </c>
      <c r="S381" s="57" t="str">
        <f t="shared" si="56"/>
        <v/>
      </c>
      <c r="T381" s="58" t="str">
        <f t="shared" si="57"/>
        <v/>
      </c>
    </row>
    <row r="382" spans="2:20" s="7" customFormat="1" ht="13.5" thickBot="1">
      <c r="B382" s="42"/>
      <c r="C382" s="92" t="str">
        <f t="shared" si="49"/>
        <v/>
      </c>
      <c r="D382" s="93" t="str">
        <f t="shared" si="50"/>
        <v/>
      </c>
      <c r="E382" s="94" t="str">
        <f t="shared" si="51"/>
        <v/>
      </c>
      <c r="F382" s="94" t="str">
        <f>IF(E382="","",IF(Annuitätenrechner!$F$37&gt;=E382,E382+ROUND(E382*Annuitätenrechner!$E$21/Annuitätenrechner!$O$27,2),Annuitätenrechner!$F$37))</f>
        <v/>
      </c>
      <c r="G382" s="94" t="str">
        <f>IF(E382="","",+ROUND(E382*Annuitätenrechner!$E$21/Annuitätenrechner!$O$27,2))</f>
        <v/>
      </c>
      <c r="H382" s="94" t="str">
        <f>IF(E382="","",IF(Annuitätenrechner!$F$37-G382&lt;=E382,Annuitätenrechner!$F$37-G382,E382))</f>
        <v/>
      </c>
      <c r="I382" s="95" t="str">
        <f t="shared" si="52"/>
        <v/>
      </c>
      <c r="J382" s="41"/>
      <c r="N382" s="59">
        <f ca="1" t="shared" si="53"/>
        <v>1</v>
      </c>
      <c r="O382" s="60">
        <f t="shared" si="54"/>
        <v>2</v>
      </c>
      <c r="P382" s="61">
        <f ca="1" t="shared" si="55"/>
        <v>2047</v>
      </c>
      <c r="R382" s="59">
        <f t="shared" si="58"/>
        <v>2</v>
      </c>
      <c r="S382" s="60" t="str">
        <f t="shared" si="56"/>
        <v/>
      </c>
      <c r="T382" s="61" t="str">
        <f t="shared" si="57"/>
        <v/>
      </c>
    </row>
    <row r="383" spans="2:10" s="7" customFormat="1" ht="13.5" thickBot="1">
      <c r="B383" s="42"/>
      <c r="C383" s="96" t="s">
        <v>30</v>
      </c>
      <c r="D383" s="97"/>
      <c r="E383" s="98"/>
      <c r="F383" s="99">
        <f>+SUM(F42:F382)</f>
        <v>175753.36999999936</v>
      </c>
      <c r="G383" s="99">
        <f>+SUM(G42:G382)</f>
        <v>75753.37000000005</v>
      </c>
      <c r="H383" s="99">
        <f>+SUM(H42:H382)</f>
        <v>99999.99999999994</v>
      </c>
      <c r="I383" s="100"/>
      <c r="J383" s="41"/>
    </row>
    <row r="384" spans="2:10" s="7" customFormat="1" ht="13.5" thickBot="1">
      <c r="B384" s="83"/>
      <c r="C384" s="84"/>
      <c r="D384" s="43"/>
      <c r="E384" s="44"/>
      <c r="F384" s="44"/>
      <c r="G384" s="44"/>
      <c r="H384" s="44"/>
      <c r="I384" s="44"/>
      <c r="J384" s="45"/>
    </row>
    <row r="385" spans="3:4" ht="12.75">
      <c r="C385" s="63"/>
      <c r="D385" s="64"/>
    </row>
  </sheetData>
  <sheetProtection selectLockedCells="1"/>
  <mergeCells count="4">
    <mergeCell ref="C30:I30"/>
    <mergeCell ref="C12:I12"/>
    <mergeCell ref="B10:J10"/>
    <mergeCell ref="B39:J39"/>
  </mergeCells>
  <dataValidations count="4">
    <dataValidation type="decimal" allowBlank="1" showErrorMessage="1" errorTitle="Disagio eingeben" error="Hier bitte das Disagio in Prozent (zwischen 0 und 10 Prozent) eingeben." sqref="F15">
      <formula1>0</formula1>
      <formula2>0.1</formula2>
    </dataValidation>
    <dataValidation type="decimal" allowBlank="1" showErrorMessage="1" errorTitle="Darlehensbetrag eingeben" error="Hier bitte den Darlehensbetrag in Euro zwischen 1.000 und 100.000.000 Euro eingeben." sqref="G14">
      <formula1>1000</formula1>
      <formula2>100000000</formula2>
    </dataValidation>
    <dataValidation type="decimal" allowBlank="1" showInputMessage="1" showErrorMessage="1" errorTitle="Zinssatz" error="Hier bitte den Zinssatz zwischen 0,05 und 25 Prozent eingeben." sqref="E21">
      <formula1>0.0005</formula1>
      <formula2>0.25</formula2>
    </dataValidation>
    <dataValidation type="decimal" allowBlank="1" showErrorMessage="1" errorTitle="Tilgung in Prozent eingeben" error="Hier bitte die Tilgung in Prozent (zwischen 0,5 und 100 Prozent) eingeben." sqref="E22">
      <formula1>0.005</formula1>
      <formula2>1</formula2>
    </dataValidation>
  </dataValidations>
  <printOptions horizontalCentered="1"/>
  <pageMargins left="0.5905511811023623" right="0.5905511811023623" top="0.5905511811023623" bottom="0.7874015748031497" header="0.5118110236220472" footer="0.5118110236220472"/>
  <pageSetup fitToHeight="5" horizontalDpi="600" verticalDpi="600" orientation="portrait" paperSize="9" scale="95" r:id="rId3"/>
  <rowBreaks count="1" manualBreakCount="1">
    <brk id="38" min="1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2017-08-22T13:32:17Z</cp:lastPrinted>
  <dcterms:created xsi:type="dcterms:W3CDTF">2016-12-12T10:27:03Z</dcterms:created>
  <dcterms:modified xsi:type="dcterms:W3CDTF">2018-01-18T12:23:25Z</dcterms:modified>
  <cp:category/>
  <cp:version/>
  <cp:contentType/>
  <cp:contentStatus/>
</cp:coreProperties>
</file>